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8125"/>
  <workbookPr autoCompressPictures="0"/>
  <bookViews>
    <workbookView xWindow="560" yWindow="560" windowWidth="25040" windowHeight="15500"/>
  </bookViews>
  <sheets>
    <sheet name="Summary" sheetId="17" r:id="rId1"/>
    <sheet name="Fig1" sheetId="20" r:id="rId2"/>
    <sheet name="Fig8" sheetId="26" r:id="rId3"/>
    <sheet name="Fredconnect" sheetId="1" r:id="rId4"/>
    <sheet name="mortmetrics" sheetId="12" r:id="rId5"/>
    <sheet name="otherloans" sheetId="3" r:id="rId6"/>
    <sheet name="GovPrograms" sheetId="15" r:id="rId7"/>
    <sheet name="inclusion" sheetId="14" r:id="rId8"/>
    <sheet name="PIPrograms" sheetId="16" r:id="rId9"/>
    <sheet name="TextBackup" sheetId="27" r:id="rId10"/>
  </sheets>
  <definedNames>
    <definedName name="chartdatesq">OFFSET(Summary!$A$11,0,0,Summary!$A$4)</definedName>
  </definedNames>
  <calcPr calcId="140001" concurrentCalc="0"/>
  <extLst>
    <ext xmlns:mx="http://schemas.microsoft.com/office/mac/excel/2008/main" uri="{7523E5D3-25F3-A5E0-1632-64F254C22452}">
      <mx:ArchID Flags="2"/>
    </ext>
    <ext xmlns:x14="http://schemas.microsoft.com/office/spreadsheetml/2009/9/main" uri="{79F54976-1DA5-4618-B147-4CDE4B953A38}">
      <x14:workbookPr defaultImageDpi="32767"/>
    </ext>
  </extLst>
</workbook>
</file>

<file path=xl/calcChain.xml><?xml version="1.0" encoding="utf-8"?>
<calcChain xmlns="http://schemas.openxmlformats.org/spreadsheetml/2006/main">
  <c r="G13" i="27" l="1"/>
  <c r="G8" i="27"/>
  <c r="G9" i="27"/>
  <c r="G7" i="27"/>
  <c r="G12" i="27"/>
  <c r="G11" i="27"/>
  <c r="G10" i="27"/>
  <c r="G5" i="27"/>
  <c r="G6" i="27"/>
  <c r="G4" i="27"/>
  <c r="A1" i="17"/>
  <c r="J31" i="17"/>
  <c r="J30" i="17"/>
  <c r="J29" i="17"/>
  <c r="J28" i="17"/>
  <c r="J27" i="17"/>
  <c r="J26" i="17"/>
  <c r="J25" i="17"/>
  <c r="J24" i="17"/>
  <c r="J23" i="17"/>
  <c r="J22" i="17"/>
  <c r="J21" i="17"/>
  <c r="J20" i="17"/>
  <c r="J19" i="17"/>
  <c r="J18" i="17"/>
  <c r="J17" i="17"/>
  <c r="J16" i="17"/>
  <c r="J15" i="17"/>
  <c r="J14" i="17"/>
  <c r="J13" i="17"/>
  <c r="J12" i="17"/>
  <c r="J11" i="17"/>
  <c r="J9" i="17"/>
  <c r="V1" i="17"/>
  <c r="A1" i="16"/>
  <c r="A26" i="17"/>
  <c r="A18" i="17"/>
  <c r="B6" i="17"/>
  <c r="B26" i="17"/>
  <c r="A27" i="17"/>
  <c r="B27" i="17"/>
  <c r="A28" i="17"/>
  <c r="B28" i="17"/>
  <c r="A29" i="17"/>
  <c r="B29" i="17"/>
  <c r="B36" i="17"/>
  <c r="A15" i="17"/>
  <c r="B15" i="17"/>
  <c r="E15" i="14"/>
  <c r="E16" i="14"/>
  <c r="E18" i="14"/>
  <c r="O14" i="15"/>
  <c r="C15" i="17"/>
  <c r="N15" i="17"/>
  <c r="B15" i="14"/>
  <c r="B16" i="14"/>
  <c r="B18" i="14"/>
  <c r="L14" i="15"/>
  <c r="D15" i="17"/>
  <c r="O15" i="17"/>
  <c r="C15" i="14"/>
  <c r="C16" i="14"/>
  <c r="C18" i="14"/>
  <c r="M14" i="15"/>
  <c r="E15" i="17"/>
  <c r="P15" i="17"/>
  <c r="D15" i="14"/>
  <c r="D16" i="14"/>
  <c r="D18" i="14"/>
  <c r="N14" i="15"/>
  <c r="F15" i="14"/>
  <c r="F16" i="14"/>
  <c r="F18" i="14"/>
  <c r="P14" i="15"/>
  <c r="G9" i="14"/>
  <c r="G10" i="14"/>
  <c r="G11" i="14"/>
  <c r="G12" i="14"/>
  <c r="G13" i="14"/>
  <c r="G15" i="14"/>
  <c r="G16" i="14"/>
  <c r="G18" i="14"/>
  <c r="Q14" i="15"/>
  <c r="H15" i="14"/>
  <c r="H16" i="14"/>
  <c r="H18" i="14"/>
  <c r="R14" i="15"/>
  <c r="I15" i="14"/>
  <c r="I16" i="14"/>
  <c r="I18" i="14"/>
  <c r="S14" i="15"/>
  <c r="J15" i="14"/>
  <c r="J16" i="14"/>
  <c r="J18" i="14"/>
  <c r="T14" i="15"/>
  <c r="U14" i="15"/>
  <c r="F15" i="17"/>
  <c r="Q15" i="17"/>
  <c r="A19" i="17"/>
  <c r="B19" i="17"/>
  <c r="D6" i="12"/>
  <c r="A30" i="12"/>
  <c r="A31" i="12"/>
  <c r="G6" i="12"/>
  <c r="G19" i="17"/>
  <c r="A20" i="17"/>
  <c r="B20" i="17"/>
  <c r="D7" i="12"/>
  <c r="G7" i="12"/>
  <c r="G20" i="17"/>
  <c r="A21" i="17"/>
  <c r="B21" i="17"/>
  <c r="D8" i="12"/>
  <c r="G8" i="12"/>
  <c r="G21" i="17"/>
  <c r="A22" i="17"/>
  <c r="B22" i="17"/>
  <c r="B9" i="12"/>
  <c r="D9" i="12"/>
  <c r="G9" i="12"/>
  <c r="G22" i="17"/>
  <c r="G4" i="17"/>
  <c r="C3" i="3"/>
  <c r="C14" i="3"/>
  <c r="E3" i="3"/>
  <c r="E14" i="3"/>
  <c r="G14" i="3"/>
  <c r="C18" i="3"/>
  <c r="E18" i="3"/>
  <c r="G18" i="3"/>
  <c r="C19" i="3"/>
  <c r="E19" i="3"/>
  <c r="G19" i="3"/>
  <c r="C20" i="3"/>
  <c r="E20" i="3"/>
  <c r="G20" i="3"/>
  <c r="C21" i="3"/>
  <c r="E21" i="3"/>
  <c r="G21" i="3"/>
  <c r="G7" i="3"/>
  <c r="G15" i="17"/>
  <c r="R15" i="17"/>
  <c r="B3" i="3"/>
  <c r="B14" i="3"/>
  <c r="D3" i="3"/>
  <c r="D14" i="3"/>
  <c r="F14" i="3"/>
  <c r="H15" i="17"/>
  <c r="S15" i="17"/>
  <c r="U15" i="17"/>
  <c r="A16" i="17"/>
  <c r="B16" i="17"/>
  <c r="O15" i="15"/>
  <c r="C16" i="17"/>
  <c r="N16" i="17"/>
  <c r="L15" i="15"/>
  <c r="D16" i="17"/>
  <c r="O16" i="17"/>
  <c r="M15" i="15"/>
  <c r="E16" i="17"/>
  <c r="P16" i="17"/>
  <c r="N15" i="15"/>
  <c r="P15" i="15"/>
  <c r="Q15" i="15"/>
  <c r="R15" i="15"/>
  <c r="S15" i="15"/>
  <c r="T15" i="15"/>
  <c r="U15" i="15"/>
  <c r="F16" i="17"/>
  <c r="Q16" i="17"/>
  <c r="C15" i="3"/>
  <c r="E15" i="3"/>
  <c r="G15" i="3"/>
  <c r="G16" i="17"/>
  <c r="R16" i="17"/>
  <c r="B15" i="3"/>
  <c r="D15" i="3"/>
  <c r="F15" i="3"/>
  <c r="H16" i="17"/>
  <c r="S16" i="17"/>
  <c r="U16" i="17"/>
  <c r="A17" i="17"/>
  <c r="B17" i="17"/>
  <c r="O16" i="15"/>
  <c r="C17" i="17"/>
  <c r="N17" i="17"/>
  <c r="L16" i="15"/>
  <c r="D17" i="17"/>
  <c r="O17" i="17"/>
  <c r="M16" i="15"/>
  <c r="E17" i="17"/>
  <c r="P17" i="17"/>
  <c r="N16" i="15"/>
  <c r="P16" i="15"/>
  <c r="Q16" i="15"/>
  <c r="R16" i="15"/>
  <c r="S16" i="15"/>
  <c r="T16" i="15"/>
  <c r="U16" i="15"/>
  <c r="F17" i="17"/>
  <c r="Q17" i="17"/>
  <c r="C16" i="3"/>
  <c r="E16" i="3"/>
  <c r="G16" i="3"/>
  <c r="G17" i="17"/>
  <c r="R17" i="17"/>
  <c r="B16" i="3"/>
  <c r="D16" i="3"/>
  <c r="F16" i="3"/>
  <c r="H17" i="17"/>
  <c r="S17" i="17"/>
  <c r="U17" i="17"/>
  <c r="B18" i="17"/>
  <c r="O17" i="15"/>
  <c r="C18" i="17"/>
  <c r="N18" i="17"/>
  <c r="L17" i="15"/>
  <c r="D18" i="17"/>
  <c r="O18" i="17"/>
  <c r="M17" i="15"/>
  <c r="E18" i="17"/>
  <c r="P18" i="17"/>
  <c r="N17" i="15"/>
  <c r="P17" i="15"/>
  <c r="Q17" i="15"/>
  <c r="R17" i="15"/>
  <c r="S17" i="15"/>
  <c r="T17" i="15"/>
  <c r="U17" i="15"/>
  <c r="F18" i="17"/>
  <c r="Q18" i="17"/>
  <c r="C17" i="3"/>
  <c r="E17" i="3"/>
  <c r="G17" i="3"/>
  <c r="G18" i="17"/>
  <c r="R18" i="17"/>
  <c r="B17" i="3"/>
  <c r="D17" i="3"/>
  <c r="F17" i="3"/>
  <c r="H18" i="17"/>
  <c r="S18" i="17"/>
  <c r="U18" i="17"/>
  <c r="V15" i="17"/>
  <c r="V16" i="17"/>
  <c r="V17" i="17"/>
  <c r="V18" i="17"/>
  <c r="V9" i="17"/>
  <c r="X11" i="17"/>
  <c r="X12" i="17"/>
  <c r="X13" i="17"/>
  <c r="X14" i="17"/>
  <c r="X15" i="17"/>
  <c r="X16" i="17"/>
  <c r="X17" i="17"/>
  <c r="X18" i="17"/>
  <c r="X26" i="17"/>
  <c r="A30" i="17"/>
  <c r="X30" i="17"/>
  <c r="X29" i="17"/>
  <c r="X28" i="17"/>
  <c r="X27" i="17"/>
  <c r="A25" i="17"/>
  <c r="X25" i="17"/>
  <c r="A24" i="17"/>
  <c r="X24" i="17"/>
  <c r="A23" i="17"/>
  <c r="X23" i="17"/>
  <c r="X22" i="17"/>
  <c r="X21" i="17"/>
  <c r="X20" i="17"/>
  <c r="X19" i="17"/>
  <c r="U9" i="17"/>
  <c r="W9" i="17"/>
  <c r="B30" i="17"/>
  <c r="O29" i="15"/>
  <c r="C30" i="17"/>
  <c r="N30" i="17"/>
  <c r="L29" i="15"/>
  <c r="D30" i="17"/>
  <c r="O30" i="17"/>
  <c r="M29" i="15"/>
  <c r="E30" i="17"/>
  <c r="P30" i="17"/>
  <c r="N29" i="15"/>
  <c r="P29" i="15"/>
  <c r="Q29" i="15"/>
  <c r="R29" i="15"/>
  <c r="S29" i="15"/>
  <c r="T29" i="15"/>
  <c r="U29" i="15"/>
  <c r="F30" i="17"/>
  <c r="Q30" i="17"/>
  <c r="B17" i="12"/>
  <c r="D17" i="12"/>
  <c r="G17" i="12"/>
  <c r="G30" i="17"/>
  <c r="R30" i="17"/>
  <c r="B29" i="3"/>
  <c r="D29" i="3"/>
  <c r="F29" i="3"/>
  <c r="H30" i="17"/>
  <c r="S30" i="17"/>
  <c r="U30" i="17"/>
  <c r="V30" i="17"/>
  <c r="O28" i="15"/>
  <c r="C29" i="17"/>
  <c r="N29" i="17"/>
  <c r="L28" i="15"/>
  <c r="D29" i="17"/>
  <c r="O29" i="17"/>
  <c r="M28" i="15"/>
  <c r="E29" i="17"/>
  <c r="P29" i="17"/>
  <c r="N28" i="15"/>
  <c r="P28" i="15"/>
  <c r="Q28" i="15"/>
  <c r="R28" i="15"/>
  <c r="S28" i="15"/>
  <c r="T28" i="15"/>
  <c r="U28" i="15"/>
  <c r="F29" i="17"/>
  <c r="Q29" i="17"/>
  <c r="D16" i="12"/>
  <c r="G16" i="12"/>
  <c r="G29" i="17"/>
  <c r="R29" i="17"/>
  <c r="B28" i="3"/>
  <c r="D28" i="3"/>
  <c r="F28" i="3"/>
  <c r="H29" i="17"/>
  <c r="S29" i="17"/>
  <c r="U29" i="17"/>
  <c r="V29" i="17"/>
  <c r="O27" i="15"/>
  <c r="C28" i="17"/>
  <c r="N28" i="17"/>
  <c r="L27" i="15"/>
  <c r="D28" i="17"/>
  <c r="O28" i="17"/>
  <c r="M27" i="15"/>
  <c r="E28" i="17"/>
  <c r="P28" i="17"/>
  <c r="N27" i="15"/>
  <c r="P27" i="15"/>
  <c r="Q27" i="15"/>
  <c r="R27" i="15"/>
  <c r="S27" i="15"/>
  <c r="T27" i="15"/>
  <c r="U27" i="15"/>
  <c r="F28" i="17"/>
  <c r="Q28" i="17"/>
  <c r="D15" i="12"/>
  <c r="G15" i="12"/>
  <c r="G28" i="17"/>
  <c r="R28" i="17"/>
  <c r="B27" i="3"/>
  <c r="D27" i="3"/>
  <c r="F27" i="3"/>
  <c r="H28" i="17"/>
  <c r="S28" i="17"/>
  <c r="U28" i="17"/>
  <c r="V28" i="17"/>
  <c r="O26" i="15"/>
  <c r="C27" i="17"/>
  <c r="N27" i="17"/>
  <c r="L26" i="15"/>
  <c r="D27" i="17"/>
  <c r="O27" i="17"/>
  <c r="M26" i="15"/>
  <c r="E27" i="17"/>
  <c r="P27" i="17"/>
  <c r="N26" i="15"/>
  <c r="P26" i="15"/>
  <c r="Q26" i="15"/>
  <c r="R26" i="15"/>
  <c r="S26" i="15"/>
  <c r="T26" i="15"/>
  <c r="U26" i="15"/>
  <c r="F27" i="17"/>
  <c r="Q27" i="17"/>
  <c r="D14" i="12"/>
  <c r="G14" i="12"/>
  <c r="G27" i="17"/>
  <c r="R27" i="17"/>
  <c r="B26" i="3"/>
  <c r="D26" i="3"/>
  <c r="F26" i="3"/>
  <c r="H27" i="17"/>
  <c r="S27" i="17"/>
  <c r="U27" i="17"/>
  <c r="V27" i="17"/>
  <c r="O25" i="15"/>
  <c r="C26" i="17"/>
  <c r="N26" i="17"/>
  <c r="L25" i="15"/>
  <c r="D26" i="17"/>
  <c r="O26" i="17"/>
  <c r="M25" i="15"/>
  <c r="E26" i="17"/>
  <c r="P26" i="17"/>
  <c r="N25" i="15"/>
  <c r="P25" i="15"/>
  <c r="Q25" i="15"/>
  <c r="R25" i="15"/>
  <c r="S25" i="15"/>
  <c r="T25" i="15"/>
  <c r="U25" i="15"/>
  <c r="F26" i="17"/>
  <c r="Q26" i="17"/>
  <c r="B13" i="12"/>
  <c r="D13" i="12"/>
  <c r="G13" i="12"/>
  <c r="G26" i="17"/>
  <c r="R26" i="17"/>
  <c r="B25" i="3"/>
  <c r="D25" i="3"/>
  <c r="F25" i="3"/>
  <c r="H26" i="17"/>
  <c r="S26" i="17"/>
  <c r="U26" i="17"/>
  <c r="V26" i="17"/>
  <c r="B25" i="17"/>
  <c r="O24" i="15"/>
  <c r="C25" i="17"/>
  <c r="N25" i="17"/>
  <c r="L24" i="15"/>
  <c r="D25" i="17"/>
  <c r="O25" i="17"/>
  <c r="M24" i="15"/>
  <c r="E25" i="17"/>
  <c r="P25" i="17"/>
  <c r="N24" i="15"/>
  <c r="P24" i="15"/>
  <c r="Q24" i="15"/>
  <c r="R24" i="15"/>
  <c r="S24" i="15"/>
  <c r="T24" i="15"/>
  <c r="U24" i="15"/>
  <c r="F25" i="17"/>
  <c r="Q25" i="17"/>
  <c r="B12" i="12"/>
  <c r="D12" i="12"/>
  <c r="G12" i="12"/>
  <c r="G25" i="17"/>
  <c r="R25" i="17"/>
  <c r="B24" i="3"/>
  <c r="D24" i="3"/>
  <c r="F24" i="3"/>
  <c r="H25" i="17"/>
  <c r="S25" i="17"/>
  <c r="U25" i="17"/>
  <c r="V25" i="17"/>
  <c r="B24" i="17"/>
  <c r="O23" i="15"/>
  <c r="C24" i="17"/>
  <c r="N24" i="17"/>
  <c r="L23" i="15"/>
  <c r="D24" i="17"/>
  <c r="O24" i="17"/>
  <c r="M23" i="15"/>
  <c r="E24" i="17"/>
  <c r="P24" i="17"/>
  <c r="N23" i="15"/>
  <c r="P23" i="15"/>
  <c r="Q23" i="15"/>
  <c r="R23" i="15"/>
  <c r="S23" i="15"/>
  <c r="T23" i="15"/>
  <c r="U23" i="15"/>
  <c r="F24" i="17"/>
  <c r="Q24" i="17"/>
  <c r="B11" i="12"/>
  <c r="D11" i="12"/>
  <c r="G11" i="12"/>
  <c r="G24" i="17"/>
  <c r="R24" i="17"/>
  <c r="B23" i="3"/>
  <c r="D23" i="3"/>
  <c r="F23" i="3"/>
  <c r="H24" i="17"/>
  <c r="S24" i="17"/>
  <c r="U24" i="17"/>
  <c r="V24" i="17"/>
  <c r="B23" i="17"/>
  <c r="O22" i="15"/>
  <c r="C23" i="17"/>
  <c r="N23" i="17"/>
  <c r="L22" i="15"/>
  <c r="D23" i="17"/>
  <c r="O23" i="17"/>
  <c r="M22" i="15"/>
  <c r="E23" i="17"/>
  <c r="P23" i="17"/>
  <c r="N22" i="15"/>
  <c r="P22" i="15"/>
  <c r="Q22" i="15"/>
  <c r="R22" i="15"/>
  <c r="S22" i="15"/>
  <c r="T22" i="15"/>
  <c r="U22" i="15"/>
  <c r="F23" i="17"/>
  <c r="Q23" i="17"/>
  <c r="B10" i="12"/>
  <c r="D10" i="12"/>
  <c r="G10" i="12"/>
  <c r="G23" i="17"/>
  <c r="R23" i="17"/>
  <c r="B22" i="3"/>
  <c r="D22" i="3"/>
  <c r="F22" i="3"/>
  <c r="H23" i="17"/>
  <c r="S23" i="17"/>
  <c r="U23" i="17"/>
  <c r="V23" i="17"/>
  <c r="O21" i="15"/>
  <c r="C22" i="17"/>
  <c r="N22" i="17"/>
  <c r="L21" i="15"/>
  <c r="D22" i="17"/>
  <c r="O22" i="17"/>
  <c r="M21" i="15"/>
  <c r="E22" i="17"/>
  <c r="P22" i="17"/>
  <c r="N21" i="15"/>
  <c r="P21" i="15"/>
  <c r="Q21" i="15"/>
  <c r="R21" i="15"/>
  <c r="S21" i="15"/>
  <c r="T21" i="15"/>
  <c r="U21" i="15"/>
  <c r="F22" i="17"/>
  <c r="Q22" i="17"/>
  <c r="R22" i="17"/>
  <c r="B21" i="3"/>
  <c r="D21" i="3"/>
  <c r="F21" i="3"/>
  <c r="H22" i="17"/>
  <c r="S22" i="17"/>
  <c r="U22" i="17"/>
  <c r="V22" i="17"/>
  <c r="O20" i="15"/>
  <c r="C21" i="17"/>
  <c r="N21" i="17"/>
  <c r="L20" i="15"/>
  <c r="D21" i="17"/>
  <c r="O21" i="17"/>
  <c r="M20" i="15"/>
  <c r="E21" i="17"/>
  <c r="P21" i="17"/>
  <c r="N20" i="15"/>
  <c r="P20" i="15"/>
  <c r="Q20" i="15"/>
  <c r="R20" i="15"/>
  <c r="S20" i="15"/>
  <c r="T20" i="15"/>
  <c r="U20" i="15"/>
  <c r="F21" i="17"/>
  <c r="Q21" i="17"/>
  <c r="R21" i="17"/>
  <c r="B20" i="3"/>
  <c r="D20" i="3"/>
  <c r="F20" i="3"/>
  <c r="H21" i="17"/>
  <c r="S21" i="17"/>
  <c r="U21" i="17"/>
  <c r="V21" i="17"/>
  <c r="O19" i="15"/>
  <c r="C20" i="17"/>
  <c r="N20" i="17"/>
  <c r="L19" i="15"/>
  <c r="D20" i="17"/>
  <c r="O20" i="17"/>
  <c r="M19" i="15"/>
  <c r="E20" i="17"/>
  <c r="P20" i="17"/>
  <c r="N19" i="15"/>
  <c r="P19" i="15"/>
  <c r="Q19" i="15"/>
  <c r="R19" i="15"/>
  <c r="S19" i="15"/>
  <c r="T19" i="15"/>
  <c r="U19" i="15"/>
  <c r="F20" i="17"/>
  <c r="Q20" i="17"/>
  <c r="R20" i="17"/>
  <c r="B19" i="3"/>
  <c r="D19" i="3"/>
  <c r="F19" i="3"/>
  <c r="H20" i="17"/>
  <c r="S20" i="17"/>
  <c r="U20" i="17"/>
  <c r="V20" i="17"/>
  <c r="O18" i="15"/>
  <c r="C19" i="17"/>
  <c r="N19" i="17"/>
  <c r="L18" i="15"/>
  <c r="D19" i="17"/>
  <c r="O19" i="17"/>
  <c r="M18" i="15"/>
  <c r="E19" i="17"/>
  <c r="P19" i="17"/>
  <c r="N18" i="15"/>
  <c r="P18" i="15"/>
  <c r="Q18" i="15"/>
  <c r="R18" i="15"/>
  <c r="S18" i="15"/>
  <c r="T18" i="15"/>
  <c r="U18" i="15"/>
  <c r="F19" i="17"/>
  <c r="Q19" i="17"/>
  <c r="R19" i="17"/>
  <c r="B18" i="3"/>
  <c r="D18" i="3"/>
  <c r="F18" i="3"/>
  <c r="H19" i="17"/>
  <c r="S19" i="17"/>
  <c r="U19" i="17"/>
  <c r="V19" i="17"/>
  <c r="A14" i="17"/>
  <c r="B14" i="17"/>
  <c r="O13" i="15"/>
  <c r="C14" i="17"/>
  <c r="N14" i="17"/>
  <c r="L13" i="15"/>
  <c r="D14" i="17"/>
  <c r="O14" i="17"/>
  <c r="M13" i="15"/>
  <c r="E14" i="17"/>
  <c r="P14" i="17"/>
  <c r="N13" i="15"/>
  <c r="P13" i="15"/>
  <c r="Q13" i="15"/>
  <c r="R13" i="15"/>
  <c r="S13" i="15"/>
  <c r="T13" i="15"/>
  <c r="U13" i="15"/>
  <c r="F14" i="17"/>
  <c r="Q14" i="17"/>
  <c r="C13" i="3"/>
  <c r="E13" i="3"/>
  <c r="G13" i="3"/>
  <c r="G14" i="17"/>
  <c r="R14" i="17"/>
  <c r="B13" i="3"/>
  <c r="D13" i="3"/>
  <c r="F13" i="3"/>
  <c r="H14" i="17"/>
  <c r="S14" i="17"/>
  <c r="U14" i="17"/>
  <c r="V14" i="17"/>
  <c r="A13" i="17"/>
  <c r="B13" i="17"/>
  <c r="O12" i="15"/>
  <c r="C13" i="17"/>
  <c r="N13" i="17"/>
  <c r="L12" i="15"/>
  <c r="D13" i="17"/>
  <c r="O13" i="17"/>
  <c r="M12" i="15"/>
  <c r="E13" i="17"/>
  <c r="P13" i="17"/>
  <c r="N12" i="15"/>
  <c r="P12" i="15"/>
  <c r="Q12" i="15"/>
  <c r="R12" i="15"/>
  <c r="S12" i="15"/>
  <c r="T12" i="15"/>
  <c r="U12" i="15"/>
  <c r="F13" i="17"/>
  <c r="Q13" i="17"/>
  <c r="C12" i="3"/>
  <c r="E12" i="3"/>
  <c r="G12" i="3"/>
  <c r="G13" i="17"/>
  <c r="R13" i="17"/>
  <c r="B12" i="3"/>
  <c r="D12" i="3"/>
  <c r="F12" i="3"/>
  <c r="H13" i="17"/>
  <c r="S13" i="17"/>
  <c r="U13" i="17"/>
  <c r="V13" i="17"/>
  <c r="A12" i="17"/>
  <c r="B12" i="17"/>
  <c r="O11" i="15"/>
  <c r="C12" i="17"/>
  <c r="N12" i="17"/>
  <c r="L11" i="15"/>
  <c r="D12" i="17"/>
  <c r="O12" i="17"/>
  <c r="M11" i="15"/>
  <c r="E12" i="17"/>
  <c r="P12" i="17"/>
  <c r="N11" i="15"/>
  <c r="P11" i="15"/>
  <c r="Q11" i="15"/>
  <c r="R11" i="15"/>
  <c r="S11" i="15"/>
  <c r="T11" i="15"/>
  <c r="U11" i="15"/>
  <c r="F12" i="17"/>
  <c r="Q12" i="17"/>
  <c r="C11" i="3"/>
  <c r="E11" i="3"/>
  <c r="G11" i="3"/>
  <c r="G12" i="17"/>
  <c r="R12" i="17"/>
  <c r="B11" i="3"/>
  <c r="D11" i="3"/>
  <c r="F11" i="3"/>
  <c r="H12" i="17"/>
  <c r="S12" i="17"/>
  <c r="U12" i="17"/>
  <c r="V12" i="17"/>
  <c r="A11" i="17"/>
  <c r="B11" i="17"/>
  <c r="O10" i="15"/>
  <c r="C11" i="17"/>
  <c r="N11" i="17"/>
  <c r="L10" i="15"/>
  <c r="D11" i="17"/>
  <c r="O11" i="17"/>
  <c r="M10" i="15"/>
  <c r="E11" i="17"/>
  <c r="P11" i="17"/>
  <c r="N10" i="15"/>
  <c r="P10" i="15"/>
  <c r="Q10" i="15"/>
  <c r="R10" i="15"/>
  <c r="S10" i="15"/>
  <c r="T10" i="15"/>
  <c r="U10" i="15"/>
  <c r="F11" i="17"/>
  <c r="Q11" i="17"/>
  <c r="C10" i="3"/>
  <c r="E10" i="3"/>
  <c r="G10" i="3"/>
  <c r="G11" i="17"/>
  <c r="R11" i="17"/>
  <c r="B10" i="3"/>
  <c r="D10" i="3"/>
  <c r="F10" i="3"/>
  <c r="H11" i="17"/>
  <c r="S11" i="17"/>
  <c r="U11" i="17"/>
  <c r="V11" i="17"/>
  <c r="U7" i="17"/>
  <c r="G15" i="16"/>
  <c r="G14" i="16"/>
  <c r="G13" i="16"/>
  <c r="G12" i="16"/>
  <c r="G11" i="16"/>
  <c r="G10" i="16"/>
  <c r="G8" i="16"/>
  <c r="G7" i="16"/>
  <c r="G6" i="16"/>
  <c r="A32" i="17"/>
  <c r="A31" i="17"/>
  <c r="A10" i="17"/>
  <c r="B10" i="17"/>
  <c r="E15" i="16"/>
  <c r="E14" i="16"/>
  <c r="E13" i="16"/>
  <c r="E12" i="16"/>
  <c r="E11" i="16"/>
  <c r="E10" i="16"/>
  <c r="E8" i="16"/>
  <c r="E7" i="16"/>
  <c r="E6" i="16"/>
  <c r="B18" i="12"/>
  <c r="D18" i="12"/>
  <c r="A19" i="12"/>
  <c r="A18" i="12"/>
  <c r="A17" i="12"/>
  <c r="A16" i="12"/>
  <c r="A15" i="12"/>
  <c r="A14" i="12"/>
  <c r="A13" i="12"/>
  <c r="A12" i="12"/>
  <c r="A11" i="12"/>
  <c r="A10" i="12"/>
  <c r="A9" i="12"/>
  <c r="A8" i="12"/>
  <c r="A7" i="12"/>
  <c r="E6" i="12"/>
  <c r="A6" i="12"/>
  <c r="C28" i="3"/>
  <c r="E24" i="3"/>
  <c r="E9" i="3"/>
  <c r="C9" i="3"/>
  <c r="G9" i="3"/>
  <c r="C22" i="3"/>
  <c r="E22" i="3"/>
  <c r="G22" i="3"/>
  <c r="C23" i="3"/>
  <c r="D30" i="3"/>
  <c r="C26" i="3"/>
  <c r="C30" i="3"/>
  <c r="C24" i="3"/>
  <c r="G24" i="3"/>
  <c r="C25" i="3"/>
  <c r="B30" i="3"/>
  <c r="F30" i="3"/>
  <c r="C6" i="16"/>
  <c r="O31" i="15"/>
  <c r="O41" i="15"/>
  <c r="B31" i="17"/>
  <c r="B32" i="17"/>
  <c r="A4" i="17"/>
  <c r="P31" i="15"/>
  <c r="C11" i="16"/>
  <c r="F6" i="12"/>
  <c r="E7" i="12"/>
  <c r="F7" i="12"/>
  <c r="L30" i="15"/>
  <c r="D9" i="3"/>
  <c r="M30" i="15"/>
  <c r="E31" i="17"/>
  <c r="M31" i="15"/>
  <c r="N30" i="15"/>
  <c r="C7" i="16"/>
  <c r="C27" i="3"/>
  <c r="C29" i="3"/>
  <c r="E8" i="12"/>
  <c r="E32" i="17"/>
  <c r="D31" i="17"/>
  <c r="H31" i="17"/>
  <c r="C32" i="17"/>
  <c r="L41" i="15"/>
  <c r="L40" i="15"/>
  <c r="E9" i="12"/>
  <c r="Q40" i="15"/>
  <c r="Q41" i="15"/>
  <c r="F9" i="12"/>
  <c r="E10" i="12"/>
  <c r="F10" i="12"/>
  <c r="E11" i="12"/>
  <c r="E12" i="12"/>
  <c r="F11" i="12"/>
  <c r="E13" i="12"/>
  <c r="F12" i="12"/>
  <c r="O40" i="15"/>
  <c r="R30" i="15"/>
  <c r="R31" i="15"/>
  <c r="C13" i="16"/>
  <c r="S31" i="15"/>
  <c r="S30" i="15"/>
  <c r="T31" i="15"/>
  <c r="T30" i="15"/>
  <c r="C15" i="16"/>
  <c r="F8" i="12"/>
  <c r="Q30" i="15"/>
  <c r="C12" i="16"/>
  <c r="C14" i="16"/>
  <c r="C8" i="16"/>
  <c r="G16" i="16"/>
  <c r="Q31" i="15"/>
  <c r="P30" i="15"/>
  <c r="N40" i="15"/>
  <c r="N31" i="15"/>
  <c r="C10" i="16"/>
  <c r="O30" i="15"/>
  <c r="C31" i="17"/>
  <c r="G18" i="12"/>
  <c r="G31" i="17"/>
  <c r="E28" i="3"/>
  <c r="G28" i="3"/>
  <c r="E29" i="3"/>
  <c r="G29" i="3"/>
  <c r="E30" i="3"/>
  <c r="G30" i="3"/>
  <c r="E26" i="3"/>
  <c r="G26" i="3"/>
  <c r="E23" i="3"/>
  <c r="G23" i="3"/>
  <c r="E25" i="3"/>
  <c r="E27" i="3"/>
  <c r="G27" i="3"/>
  <c r="L31" i="15"/>
  <c r="N41" i="15"/>
  <c r="G25" i="3"/>
  <c r="B9" i="3"/>
  <c r="F9" i="3"/>
  <c r="H10" i="17"/>
  <c r="M41" i="15"/>
  <c r="U31" i="15"/>
  <c r="D32" i="17"/>
  <c r="F32" i="17"/>
  <c r="T40" i="15"/>
  <c r="T41" i="15"/>
  <c r="R40" i="15"/>
  <c r="R41" i="15"/>
  <c r="E17" i="16"/>
  <c r="F10" i="16"/>
  <c r="F13" i="16"/>
  <c r="S41" i="15"/>
  <c r="S40" i="15"/>
  <c r="F14" i="16"/>
  <c r="F15" i="16"/>
  <c r="M40" i="15"/>
  <c r="F13" i="12"/>
  <c r="E14" i="12"/>
  <c r="F12" i="16"/>
  <c r="P41" i="15"/>
  <c r="P40" i="15"/>
  <c r="F8" i="16"/>
  <c r="U30" i="15"/>
  <c r="F31" i="17"/>
  <c r="E15" i="12"/>
  <c r="F14" i="12"/>
  <c r="F11" i="16"/>
  <c r="F7" i="16"/>
  <c r="F6" i="16"/>
  <c r="G10" i="17"/>
  <c r="F15" i="12"/>
  <c r="E16" i="12"/>
  <c r="F16" i="12"/>
  <c r="E17" i="12"/>
  <c r="E18" i="12"/>
  <c r="F18" i="12"/>
  <c r="F17" i="12"/>
</calcChain>
</file>

<file path=xl/sharedStrings.xml><?xml version="1.0" encoding="utf-8"?>
<sst xmlns="http://schemas.openxmlformats.org/spreadsheetml/2006/main" count="252" uniqueCount="158">
  <si>
    <t>lin</t>
  </si>
  <si>
    <t>Board of Governors of the Federal Reserve System</t>
  </si>
  <si>
    <t>Q</t>
  </si>
  <si>
    <t>date</t>
  </si>
  <si>
    <t>value</t>
  </si>
  <si>
    <t>CORSFRMACBS</t>
  </si>
  <si>
    <t>CORCACBS</t>
  </si>
  <si>
    <t>Quarterly</t>
  </si>
  <si>
    <t>Percent</t>
  </si>
  <si>
    <t>1985-01-01 to 2011-04-01</t>
  </si>
  <si>
    <t>Charge-Off Rate On Single Family Residential Mortgages, Booked In Domestic Offices, All Commercial Banks</t>
  </si>
  <si>
    <t>1991-01-01 to 2011-04-01</t>
  </si>
  <si>
    <t>Charge-Off Rate On Consumer Loans, All Commercial Banks</t>
  </si>
  <si>
    <t>Millions of Dollars</t>
  </si>
  <si>
    <t>ATAIEALLGSRESFRMACB</t>
  </si>
  <si>
    <t>ACLACB</t>
  </si>
  <si>
    <t>Single family mortgages</t>
  </si>
  <si>
    <t>Consumer Loans</t>
  </si>
  <si>
    <t>Consumer Loans, All Commercial Banks</t>
  </si>
  <si>
    <t>Total Assets Interest-Earning, All Loans And Leases, Gross, Secured By Real Estate, Single-Family (1-4 Family) Residential Mortgages, Booked In Domestic Offices, All Commercial Banks</t>
  </si>
  <si>
    <t>OCC and OTS Mortgage Metrics Report</t>
  </si>
  <si>
    <t>quarter</t>
  </si>
  <si>
    <t>Short Sales &amp; Deed-in-lieu</t>
  </si>
  <si>
    <t>New Loan Mods and Payment Plans</t>
  </si>
  <si>
    <t>Combined</t>
  </si>
  <si>
    <t>CUM</t>
  </si>
  <si>
    <t>CUM value</t>
  </si>
  <si>
    <t>Universe</t>
  </si>
  <si>
    <t>share of all US mortgages</t>
  </si>
  <si>
    <t>millions of loans</t>
  </si>
  <si>
    <t>agg principal balance (trillions)</t>
  </si>
  <si>
    <t>Modification Value</t>
  </si>
  <si>
    <t>dollars per month</t>
  </si>
  <si>
    <t>number of months</t>
  </si>
  <si>
    <t>annual discount rate</t>
  </si>
  <si>
    <t>monthly discount rate</t>
  </si>
  <si>
    <t>number of transactions</t>
  </si>
  <si>
    <t>flow value for universe</t>
  </si>
  <si>
    <t>Table</t>
  </si>
  <si>
    <t>Commercial Bank Loans</t>
  </si>
  <si>
    <t>$ Millions Outstanding</t>
  </si>
  <si>
    <t>Discharge Rate, annualized</t>
  </si>
  <si>
    <t>$ Millions Discharged, quarterly rates</t>
  </si>
  <si>
    <t>Federal</t>
  </si>
  <si>
    <t>UI</t>
  </si>
  <si>
    <t>line 7</t>
  </si>
  <si>
    <t>line 21</t>
  </si>
  <si>
    <t>line 23</t>
  </si>
  <si>
    <t>line 35</t>
  </si>
  <si>
    <t>line 36</t>
  </si>
  <si>
    <t>line 37</t>
  </si>
  <si>
    <t>line 38</t>
  </si>
  <si>
    <t>line 39</t>
  </si>
  <si>
    <t>SNAP</t>
  </si>
  <si>
    <t>SSI</t>
  </si>
  <si>
    <t>line 33</t>
  </si>
  <si>
    <t>State &amp; Local</t>
  </si>
  <si>
    <t>Medicaid</t>
  </si>
  <si>
    <t>Family Assistance</t>
  </si>
  <si>
    <t>General Assistance</t>
  </si>
  <si>
    <t>Energy Assistance</t>
  </si>
  <si>
    <t>Other</t>
  </si>
  <si>
    <t>BEA Table 3.12 U, $ millions SAAR</t>
  </si>
  <si>
    <t>average</t>
  </si>
  <si>
    <t>Nonelderly benefits, $ millions SAAR</t>
  </si>
  <si>
    <t>TOTAL</t>
  </si>
  <si>
    <t>percentage of benefits going to elderly</t>
  </si>
  <si>
    <t>100-avg</t>
  </si>
  <si>
    <t>beneficiaries from DOL "Characteristics of the Insured Unemployed"</t>
  </si>
  <si>
    <t>pro-rated share of benefits for ages 60+ from Tables 3.5 in SNAP Characteristics</t>
  </si>
  <si>
    <t>Inclusion factors</t>
  </si>
  <si>
    <t>http://www.socialsecurity.gov/policy/docs/statcomps/ssi_asr/2010/</t>
  </si>
  <si>
    <t>https://www.cms.gov/MedicareMedicaidStatSupp/downloads/2010Medicaid.zip, Table 13.10</t>
  </si>
  <si>
    <t>in-kind factor</t>
  </si>
  <si>
    <t>inclusion factor</t>
  </si>
  <si>
    <t>Program</t>
  </si>
  <si>
    <t>Unemployment Insurance</t>
  </si>
  <si>
    <t>Supplemental Nutrition Assistance Program</t>
  </si>
  <si>
    <t>Supplemental Security Income</t>
  </si>
  <si>
    <t>State and Local</t>
  </si>
  <si>
    <t>PCE deflator</t>
  </si>
  <si>
    <t>PCECTPI</t>
  </si>
  <si>
    <t>Personal Consumption Expenditures: Chain-type Price Index</t>
  </si>
  <si>
    <t>U.S. Department of Commerce: Bureau of Economic Analysis</t>
  </si>
  <si>
    <t>Index 2005=100</t>
  </si>
  <si>
    <t>1947-01-01 to 2011-07-01</t>
  </si>
  <si>
    <t>Other Means-tested Transfers</t>
  </si>
  <si>
    <t>Home Retention Actions</t>
  </si>
  <si>
    <t>Consumer Loan Charge-offs</t>
  </si>
  <si>
    <t>2008 sum</t>
  </si>
  <si>
    <t>end date</t>
  </si>
  <si>
    <t>nobs</t>
  </si>
  <si>
    <t>millions of non-elderly heads and wives not employed</t>
  </si>
  <si>
    <t>millions of non-elderly heads and wives not employed, or under-employed (relative to 2007)</t>
  </si>
  <si>
    <t>NOTES:</t>
  </si>
  <si>
    <r>
      <rPr>
        <vertAlign val="superscript"/>
        <sz val="14"/>
        <rFont val="Times New Roman"/>
        <family val="1"/>
      </rPr>
      <t>b</t>
    </r>
    <r>
      <rPr>
        <sz val="14"/>
        <rFont val="Times New Roman"/>
        <family val="1"/>
      </rPr>
      <t>Percentage of total is proportional to a program's transfer amount times its inclusion factor; percentages sum to 100 across programs.</t>
    </r>
  </si>
  <si>
    <r>
      <rPr>
        <vertAlign val="superscript"/>
        <sz val="14"/>
        <rFont val="Times New Roman"/>
        <family val="1"/>
      </rPr>
      <t>c</t>
    </r>
    <r>
      <rPr>
        <sz val="14"/>
        <rFont val="Times New Roman"/>
        <family val="1"/>
      </rPr>
      <t>Other consists of expenditures for food under the supplemental program for women, infants, and children; foster care; adoption assistance; and payments to nonprofit welfare institutions.</t>
    </r>
  </si>
  <si>
    <r>
      <t>Inclusion Factor</t>
    </r>
    <r>
      <rPr>
        <u/>
        <vertAlign val="superscript"/>
        <sz val="14"/>
        <rFont val="Times New Roman"/>
        <family val="1"/>
      </rPr>
      <t>a</t>
    </r>
  </si>
  <si>
    <r>
      <t>Percentage of Total</t>
    </r>
    <r>
      <rPr>
        <u/>
        <vertAlign val="superscript"/>
        <sz val="14"/>
        <rFont val="Times New Roman"/>
        <family val="1"/>
      </rPr>
      <t>b</t>
    </r>
  </si>
  <si>
    <r>
      <t>Other</t>
    </r>
    <r>
      <rPr>
        <vertAlign val="superscript"/>
        <sz val="14"/>
        <rFont val="Times New Roman"/>
        <family val="1"/>
      </rPr>
      <t>c</t>
    </r>
  </si>
  <si>
    <t>Theoretical</t>
  </si>
  <si>
    <r>
      <rPr>
        <vertAlign val="superscript"/>
        <sz val="14"/>
        <rFont val="Times New Roman"/>
        <family val="1"/>
      </rPr>
      <t>a</t>
    </r>
    <r>
      <rPr>
        <sz val="14"/>
        <rFont val="Times New Roman"/>
        <family val="1"/>
      </rPr>
      <t>Inclusion factor is an estimate of the fraction of program spending on non-elderly persons.  For Medicaid, it is multiplied by an estimate of the relative value of in-kind versus cash subsidies (0.5).</t>
    </r>
  </si>
  <si>
    <t>3.2</t>
  </si>
  <si>
    <t>FY2010 avg</t>
  </si>
  <si>
    <t>FY2010 $ billion, SAAR</t>
  </si>
  <si>
    <t>FY2010 $ per Nonemployed, SAMR</t>
  </si>
  <si>
    <t>FY2010</t>
  </si>
  <si>
    <t>Other means-tested transfers</t>
  </si>
  <si>
    <t>Home retention actions</t>
  </si>
  <si>
    <t>Consumer loan charge-offs</t>
  </si>
  <si>
    <t>Mulligan (2012, Chapter 3, note 54)</t>
  </si>
  <si>
    <t>subsidies only</t>
  </si>
  <si>
    <t>subsidies &amp; taxes</t>
  </si>
  <si>
    <t>In-kind factor is from Gallen (2015)</t>
  </si>
  <si>
    <t>Note: this row is updated to include Gallen's (2015) estimate of program participants' valuation of Medicaid expenditures.</t>
  </si>
  <si>
    <t>Index for Fig 10c</t>
  </si>
  <si>
    <t>Category</t>
  </si>
  <si>
    <t>Order of appearance</t>
  </si>
  <si>
    <t>Sequence</t>
  </si>
  <si>
    <t>Txt before</t>
  </si>
  <si>
    <t>Numword</t>
  </si>
  <si>
    <t>Number</t>
  </si>
  <si>
    <t>Arithmetic</t>
  </si>
  <si>
    <t>Txt after</t>
  </si>
  <si>
    <t>Comment</t>
  </si>
  <si>
    <t>Status</t>
  </si>
  <si>
    <t>see masterfile</t>
  </si>
  <si>
    <t>before the recession, housing collapse, and expansion of means-tested programs, the combination of these benefits was only about $</t>
  </si>
  <si>
    <t xml:space="preserve"> of unemployment benefits by themselves.</t>
  </si>
  <si>
    <t>quadruple</t>
  </si>
  <si>
    <t>550</t>
  </si>
  <si>
    <t xml:space="preserve"> billion (constant dollars) per year.</t>
  </si>
  <si>
    <t xml:space="preserve"> billion per year by the second half of 2009, or about triple of unemployment benefits by themselves.</t>
  </si>
  <si>
    <t>250</t>
  </si>
  <si>
    <t>The combination (hereafter, “combined subsidies”) reached over $550 billion per year by the second half of 2009, or almost</t>
  </si>
  <si>
    <t>the combination (hereafter, “combined subsidies”) reached almost $</t>
  </si>
  <si>
    <t>complete</t>
  </si>
  <si>
    <t xml:space="preserve">i estimate that, before the recession began, the combined receipts from unemployment insurance, other means-tested government transfer programs, “home retention actions,” and consumer loan charge-offs by commercial banks, on average replaced less than </t>
  </si>
  <si>
    <t>17</t>
  </si>
  <si>
    <t>25</t>
  </si>
  <si>
    <t xml:space="preserve"> to 37 percent.</t>
  </si>
  <si>
    <t>37</t>
  </si>
  <si>
    <t xml:space="preserve"> percent.</t>
  </si>
  <si>
    <t xml:space="preserve">By 2010, the replacement rate was </t>
  </si>
  <si>
    <t>29</t>
  </si>
  <si>
    <t xml:space="preserve">Using one of the simplest versions of the neoclassical growth model in which all parameters except the replacement rate are constant, this paper simulates competitive equilibrium responses to a tax rate (replacement plus explicit tax) that grew steadily during 2008 and 2009 from </t>
  </si>
  <si>
    <t xml:space="preserve">Using one of the simplest versions of the neoclassical growth model in which all parameters except the replacement rate are constant, this paper simulates competitive equilibrium responses to a tax rate (replacement plus explicit tax) that grew steadily during 2008 and 2009 from 25 to </t>
  </si>
  <si>
    <t xml:space="preserve"> percent points from before the recession to late 2009.</t>
  </si>
  <si>
    <t>11</t>
  </si>
  <si>
    <t xml:space="preserve">this measured replacement rate increases about </t>
  </si>
  <si>
    <t xml:space="preserve">however, the fact that all three model labor paths ultimately decline about ten percent over those two years is a combination of figure 8’s finding that replacement rates rose about </t>
  </si>
  <si>
    <t>12</t>
  </si>
  <si>
    <t xml:space="preserve"> percentage points, the benchmark assumption that the frisch wage elasticity of labor supply is 0.75, and the benchmark assumption that labor’s share is 0.7.</t>
  </si>
  <si>
    <t xml:space="preserve">about </t>
  </si>
  <si>
    <t>40</t>
  </si>
  <si>
    <t xml:space="preserve"> percent of the increase shown in figure 1 comes from unemployment benefits.</t>
  </si>
  <si>
    <r>
      <rPr>
        <sz val="12"/>
        <color theme="1"/>
        <rFont val="Times New Roman"/>
        <family val="2"/>
        <scheme val="minor"/>
      </rPr>
      <t>Readme.nber</t>
    </r>
    <r>
      <rPr>
        <sz val="12"/>
        <color theme="1"/>
        <rFont val="Times New Roman"/>
        <family val="2"/>
        <scheme val="minor"/>
      </rPr>
      <t>.xlsx</t>
    </r>
  </si>
  <si>
    <t xml:space="preserve"> percent of a prime-aged unemployed worker’s marginal product.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</si>
</sst>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"/>
    <numFmt numFmtId="165" formatCode="[$-409]mmm\-yy;@"/>
    <numFmt numFmtId="166" formatCode="0.0%"/>
    <numFmt numFmtId="167" formatCode="#,##0.0"/>
    <numFmt numFmtId="168" formatCode="#,##0.000"/>
  </numFmts>
  <fonts count="18" x14ac:knownFonts="1">
    <font>
      <sz val="11"/>
      <color theme="1"/>
      <name val="Times New Roman"/>
      <family val="2"/>
      <scheme val="minor"/>
    </font>
    <font>
      <sz val="12"/>
      <color theme="1"/>
      <name val="Times New Roman"/>
      <family val="2"/>
      <scheme val="minor"/>
    </font>
    <font>
      <sz val="12"/>
      <color theme="1"/>
      <name val="Times New Roman"/>
      <family val="2"/>
      <scheme val="minor"/>
    </font>
    <font>
      <sz val="12"/>
      <color theme="1"/>
      <name val="Times New Roman"/>
      <family val="2"/>
      <scheme val="minor"/>
    </font>
    <font>
      <sz val="12"/>
      <color theme="1"/>
      <name val="Times New Roman"/>
      <family val="2"/>
      <scheme val="minor"/>
    </font>
    <font>
      <sz val="12"/>
      <color theme="1"/>
      <name val="Times New Roman"/>
      <family val="2"/>
      <scheme val="minor"/>
    </font>
    <font>
      <sz val="10"/>
      <name val="Arial"/>
      <family val="2"/>
    </font>
    <font>
      <sz val="14"/>
      <name val="Times New Roman"/>
      <family val="1"/>
    </font>
    <font>
      <vertAlign val="superscript"/>
      <sz val="14"/>
      <name val="Times New Roman"/>
      <family val="1"/>
    </font>
    <font>
      <u/>
      <vertAlign val="superscript"/>
      <sz val="14"/>
      <name val="Times New Roman"/>
      <family val="1"/>
    </font>
    <font>
      <sz val="11"/>
      <color theme="1"/>
      <name val="Times New Roman"/>
      <family val="2"/>
      <scheme val="minor"/>
    </font>
    <font>
      <u/>
      <sz val="11"/>
      <color theme="10"/>
      <name val="Times New Roman"/>
      <family val="2"/>
      <scheme val="minor"/>
    </font>
    <font>
      <sz val="11"/>
      <color rgb="FF3F3F76"/>
      <name val="Times New Roman"/>
      <family val="2"/>
      <scheme val="minor"/>
    </font>
    <font>
      <sz val="14"/>
      <name val="Times New Roman"/>
      <family val="1"/>
      <scheme val="minor"/>
    </font>
    <font>
      <u/>
      <sz val="14"/>
      <name val="Times New Roman"/>
      <family val="1"/>
      <scheme val="minor"/>
    </font>
    <font>
      <b/>
      <sz val="14"/>
      <name val="Times New Roman"/>
      <family val="1"/>
      <scheme val="minor"/>
    </font>
    <font>
      <u/>
      <sz val="11"/>
      <color theme="1"/>
      <name val="Times New Roman"/>
      <family val="1"/>
      <scheme val="minor"/>
    </font>
    <font>
      <sz val="12"/>
      <color rgb="FF000000"/>
      <name val="Times New Roman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C99"/>
      </patternFill>
    </fill>
  </fills>
  <borders count="3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n">
        <color auto="1"/>
      </bottom>
      <diagonal/>
    </border>
  </borders>
  <cellStyleXfs count="5">
    <xf numFmtId="0" fontId="0" fillId="0" borderId="0"/>
    <xf numFmtId="0" fontId="11" fillId="0" borderId="0" applyNumberFormat="0" applyFill="0" applyBorder="0" applyAlignment="0" applyProtection="0"/>
    <xf numFmtId="0" fontId="12" fillId="2" borderId="1" applyNumberFormat="0" applyAlignment="0" applyProtection="0"/>
    <xf numFmtId="0" fontId="6" fillId="0" borderId="0"/>
    <xf numFmtId="9" fontId="10" fillId="0" borderId="0" applyFont="0" applyFill="0" applyBorder="0" applyAlignment="0" applyProtection="0"/>
  </cellStyleXfs>
  <cellXfs count="50">
    <xf numFmtId="0" fontId="0" fillId="0" borderId="0" xfId="0"/>
    <xf numFmtId="14" fontId="0" fillId="0" borderId="0" xfId="0" applyNumberFormat="1"/>
    <xf numFmtId="164" fontId="0" fillId="0" borderId="0" xfId="0" applyNumberFormat="1"/>
    <xf numFmtId="14" fontId="11" fillId="0" borderId="0" xfId="1" applyNumberFormat="1"/>
    <xf numFmtId="0" fontId="0" fillId="0" borderId="0" xfId="0" applyAlignment="1">
      <alignment horizontal="left"/>
    </xf>
    <xf numFmtId="165" fontId="0" fillId="0" borderId="0" xfId="0" applyNumberFormat="1"/>
    <xf numFmtId="3" fontId="0" fillId="0" borderId="0" xfId="0" applyNumberFormat="1"/>
    <xf numFmtId="166" fontId="10" fillId="0" borderId="0" xfId="4" applyNumberFormat="1" applyFont="1"/>
    <xf numFmtId="0" fontId="0" fillId="0" borderId="0" xfId="0" applyNumberFormat="1"/>
    <xf numFmtId="0" fontId="0" fillId="0" borderId="0" xfId="0" applyAlignment="1">
      <alignment horizontal="center"/>
    </xf>
    <xf numFmtId="167" fontId="0" fillId="0" borderId="0" xfId="0" applyNumberFormat="1"/>
    <xf numFmtId="0" fontId="0" fillId="0" borderId="0" xfId="0" applyAlignment="1">
      <alignment horizontal="right"/>
    </xf>
    <xf numFmtId="0" fontId="11" fillId="0" borderId="0" xfId="1"/>
    <xf numFmtId="4" fontId="0" fillId="0" borderId="0" xfId="0" applyNumberFormat="1"/>
    <xf numFmtId="168" fontId="0" fillId="0" borderId="0" xfId="0" applyNumberFormat="1"/>
    <xf numFmtId="0" fontId="13" fillId="0" borderId="0" xfId="3" applyFont="1"/>
    <xf numFmtId="0" fontId="6" fillId="0" borderId="0" xfId="3"/>
    <xf numFmtId="0" fontId="13" fillId="0" borderId="0" xfId="3" quotePrefix="1" applyFont="1"/>
    <xf numFmtId="0" fontId="14" fillId="0" borderId="0" xfId="3" applyFont="1"/>
    <xf numFmtId="2" fontId="13" fillId="0" borderId="0" xfId="3" applyNumberFormat="1" applyFont="1"/>
    <xf numFmtId="3" fontId="13" fillId="0" borderId="0" xfId="3" applyNumberFormat="1" applyFont="1"/>
    <xf numFmtId="9" fontId="13" fillId="0" borderId="0" xfId="4" applyFont="1"/>
    <xf numFmtId="0" fontId="0" fillId="0" borderId="0" xfId="0" quotePrefix="1"/>
    <xf numFmtId="0" fontId="15" fillId="0" borderId="0" xfId="3" applyFont="1"/>
    <xf numFmtId="0" fontId="16" fillId="0" borderId="0" xfId="0" applyFont="1"/>
    <xf numFmtId="2" fontId="0" fillId="0" borderId="0" xfId="0" applyNumberFormat="1"/>
    <xf numFmtId="0" fontId="12" fillId="2" borderId="1" xfId="2"/>
    <xf numFmtId="0" fontId="17" fillId="0" borderId="0" xfId="0" applyFont="1"/>
    <xf numFmtId="0" fontId="17" fillId="0" borderId="0" xfId="0" applyFont="1" applyAlignment="1">
      <alignment horizontal="right"/>
    </xf>
    <xf numFmtId="0" fontId="17" fillId="0" borderId="0" xfId="0" quotePrefix="1" applyFont="1"/>
    <xf numFmtId="0" fontId="5" fillId="0" borderId="0" xfId="0" applyFont="1"/>
    <xf numFmtId="0" fontId="5" fillId="0" borderId="2" xfId="0" applyFont="1" applyBorder="1"/>
    <xf numFmtId="0" fontId="5" fillId="0" borderId="2" xfId="0" applyFont="1" applyBorder="1" applyAlignment="1">
      <alignment horizontal="right"/>
    </xf>
    <xf numFmtId="0" fontId="5" fillId="0" borderId="0" xfId="0" applyFont="1" applyAlignment="1">
      <alignment horizontal="right"/>
    </xf>
    <xf numFmtId="0" fontId="5" fillId="0" borderId="0" xfId="0" quotePrefix="1" applyFont="1"/>
    <xf numFmtId="1" fontId="5" fillId="0" borderId="0" xfId="0" applyNumberFormat="1" applyFont="1"/>
    <xf numFmtId="4" fontId="17" fillId="0" borderId="0" xfId="0" applyNumberFormat="1" applyFont="1"/>
    <xf numFmtId="168" fontId="17" fillId="0" borderId="0" xfId="0" applyNumberFormat="1" applyFont="1"/>
    <xf numFmtId="4" fontId="5" fillId="0" borderId="0" xfId="0" applyNumberFormat="1" applyFont="1"/>
    <xf numFmtId="0" fontId="4" fillId="0" borderId="0" xfId="0" applyFont="1"/>
    <xf numFmtId="0" fontId="4" fillId="0" borderId="0" xfId="0" quotePrefix="1" applyFont="1"/>
    <xf numFmtId="0" fontId="4" fillId="0" borderId="0" xfId="0" applyFont="1" applyAlignment="1">
      <alignment horizontal="right"/>
    </xf>
    <xf numFmtId="0" fontId="3" fillId="0" borderId="0" xfId="0" applyFont="1"/>
    <xf numFmtId="9" fontId="5" fillId="0" borderId="0" xfId="4" applyFont="1"/>
    <xf numFmtId="0" fontId="2" fillId="0" borderId="0" xfId="0" applyFont="1"/>
    <xf numFmtId="0" fontId="0" fillId="0" borderId="0" xfId="0" quotePrefix="1" applyAlignment="1">
      <alignment horizontal="center"/>
    </xf>
    <xf numFmtId="0" fontId="0" fillId="0" borderId="0" xfId="0" applyAlignment="1">
      <alignment horizontal="center"/>
    </xf>
    <xf numFmtId="0" fontId="14" fillId="0" borderId="0" xfId="3" applyFont="1" applyAlignment="1">
      <alignment horizontal="center"/>
    </xf>
    <xf numFmtId="0" fontId="13" fillId="0" borderId="0" xfId="3" applyFont="1" applyAlignment="1">
      <alignment horizontal="left" wrapText="1"/>
    </xf>
    <xf numFmtId="0" fontId="7" fillId="0" borderId="0" xfId="3" applyFont="1" applyAlignment="1">
      <alignment horizontal="left" wrapText="1"/>
    </xf>
  </cellXfs>
  <cellStyles count="5">
    <cellStyle name="Hyperlink" xfId="1" builtinId="8"/>
    <cellStyle name="Input" xfId="2" builtinId="20"/>
    <cellStyle name="Normal" xfId="0" builtinId="0"/>
    <cellStyle name="Normal 2" xfId="3"/>
    <cellStyle name="Percent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theme" Target="theme/theme1.xml"/><Relationship Id="rId12" Type="http://schemas.openxmlformats.org/officeDocument/2006/relationships/styles" Target="styles.xml"/><Relationship Id="rId13" Type="http://schemas.openxmlformats.org/officeDocument/2006/relationships/sharedStrings" Target="sharedStrings.xml"/><Relationship Id="rId14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chartsheet" Target="chartsheets/sheet1.xml"/><Relationship Id="rId3" Type="http://schemas.openxmlformats.org/officeDocument/2006/relationships/chartsheet" Target="chartsheets/sheet2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Summary!$A$1</c:f>
          <c:strCache>
            <c:ptCount val="1"/>
            <c:pt idx="0">
              <c:v>Figure 1.  Transfers and Loan Discharges for the Nonelderly Unemployed and Financially Distressed</c:v>
            </c:pt>
          </c:strCache>
        </c:strRef>
      </c:tx>
      <c:layout/>
      <c:overlay val="1"/>
      <c:spPr>
        <a:noFill/>
        <a:ln w="25400">
          <a:noFill/>
        </a:ln>
      </c:spPr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0762078282242934"/>
          <c:y val="0.0686551103060892"/>
          <c:w val="0.891822486221624"/>
          <c:h val="0.763543723034028"/>
        </c:manualLayout>
      </c:layout>
      <c:areaChart>
        <c:grouping val="stacked"/>
        <c:varyColors val="0"/>
        <c:ser>
          <c:idx val="0"/>
          <c:order val="0"/>
          <c:tx>
            <c:strRef>
              <c:f>Summary!$C$8</c:f>
              <c:strCache>
                <c:ptCount val="1"/>
                <c:pt idx="0">
                  <c:v>Medicaid</c:v>
                </c:pt>
              </c:strCache>
            </c:strRef>
          </c:tx>
          <c:spPr>
            <a:solidFill>
              <a:srgbClr val="4572A7"/>
            </a:solidFill>
            <a:ln w="25400">
              <a:noFill/>
            </a:ln>
          </c:spPr>
          <c:cat>
            <c:numRef>
              <c:f>[0]!chartdatesq</c:f>
              <c:numCache>
                <c:formatCode>[$-409]mmm\-yy;@</c:formatCode>
                <c:ptCount val="20"/>
                <c:pt idx="0">
                  <c:v>38718.0</c:v>
                </c:pt>
                <c:pt idx="1">
                  <c:v>38808.0</c:v>
                </c:pt>
                <c:pt idx="2">
                  <c:v>38899.0</c:v>
                </c:pt>
                <c:pt idx="3">
                  <c:v>38991.0</c:v>
                </c:pt>
                <c:pt idx="4">
                  <c:v>39083.0</c:v>
                </c:pt>
                <c:pt idx="5">
                  <c:v>39173.0</c:v>
                </c:pt>
                <c:pt idx="6">
                  <c:v>39264.0</c:v>
                </c:pt>
                <c:pt idx="7">
                  <c:v>39356.0</c:v>
                </c:pt>
                <c:pt idx="8">
                  <c:v>39448.0</c:v>
                </c:pt>
                <c:pt idx="9">
                  <c:v>39539.0</c:v>
                </c:pt>
                <c:pt idx="10">
                  <c:v>39630.0</c:v>
                </c:pt>
                <c:pt idx="11">
                  <c:v>39722.0</c:v>
                </c:pt>
                <c:pt idx="12">
                  <c:v>39814.0</c:v>
                </c:pt>
                <c:pt idx="13">
                  <c:v>39904.0</c:v>
                </c:pt>
                <c:pt idx="14">
                  <c:v>39995.0</c:v>
                </c:pt>
                <c:pt idx="15">
                  <c:v>40087.0</c:v>
                </c:pt>
                <c:pt idx="16">
                  <c:v>40179.0</c:v>
                </c:pt>
                <c:pt idx="17">
                  <c:v>40269.0</c:v>
                </c:pt>
                <c:pt idx="18">
                  <c:v>40360.0</c:v>
                </c:pt>
                <c:pt idx="19">
                  <c:v>40452.0</c:v>
                </c:pt>
              </c:numCache>
            </c:numRef>
          </c:cat>
          <c:val>
            <c:numRef>
              <c:f>Summary!$C$11:$C$42</c:f>
              <c:numCache>
                <c:formatCode>0.0</c:formatCode>
                <c:ptCount val="32"/>
                <c:pt idx="0">
                  <c:v>87.41338345053833</c:v>
                </c:pt>
                <c:pt idx="1">
                  <c:v>88.4289218816438</c:v>
                </c:pt>
                <c:pt idx="2">
                  <c:v>91.32357562381166</c:v>
                </c:pt>
                <c:pt idx="3">
                  <c:v>89.46491747089652</c:v>
                </c:pt>
                <c:pt idx="4">
                  <c:v>97.50856531034247</c:v>
                </c:pt>
                <c:pt idx="5">
                  <c:v>91.38602280844675</c:v>
                </c:pt>
                <c:pt idx="6">
                  <c:v>92.33568463734341</c:v>
                </c:pt>
                <c:pt idx="7">
                  <c:v>95.12409570125612</c:v>
                </c:pt>
                <c:pt idx="8">
                  <c:v>94.10039537319024</c:v>
                </c:pt>
                <c:pt idx="9">
                  <c:v>95.05119348349036</c:v>
                </c:pt>
                <c:pt idx="10">
                  <c:v>94.74148759585558</c:v>
                </c:pt>
                <c:pt idx="11">
                  <c:v>96.47523908445551</c:v>
                </c:pt>
                <c:pt idx="12">
                  <c:v>102.4904580108135</c:v>
                </c:pt>
                <c:pt idx="13">
                  <c:v>105.1809787171702</c:v>
                </c:pt>
                <c:pt idx="14">
                  <c:v>107.1461401873427</c:v>
                </c:pt>
                <c:pt idx="15">
                  <c:v>105.0054272473576</c:v>
                </c:pt>
                <c:pt idx="16">
                  <c:v>106.9030295024286</c:v>
                </c:pt>
                <c:pt idx="17">
                  <c:v>107.6870596759381</c:v>
                </c:pt>
                <c:pt idx="18">
                  <c:v>111.6765216031</c:v>
                </c:pt>
                <c:pt idx="19">
                  <c:v>120.6359071051924</c:v>
                </c:pt>
                <c:pt idx="20">
                  <c:v>117.3743342649038</c:v>
                </c:pt>
                <c:pt idx="21">
                  <c:v>117.9214117811818</c:v>
                </c:pt>
              </c:numCache>
            </c:numRef>
          </c:val>
        </c:ser>
        <c:ser>
          <c:idx val="1"/>
          <c:order val="1"/>
          <c:tx>
            <c:strRef>
              <c:f>Summary!$D$8</c:f>
              <c:strCache>
                <c:ptCount val="1"/>
                <c:pt idx="0">
                  <c:v>UI</c:v>
                </c:pt>
              </c:strCache>
            </c:strRef>
          </c:tx>
          <c:spPr>
            <a:solidFill>
              <a:srgbClr val="AA4643"/>
            </a:solidFill>
            <a:ln w="25400">
              <a:noFill/>
            </a:ln>
          </c:spPr>
          <c:cat>
            <c:numRef>
              <c:f>[0]!chartdatesq</c:f>
              <c:numCache>
                <c:formatCode>[$-409]mmm\-yy;@</c:formatCode>
                <c:ptCount val="20"/>
                <c:pt idx="0">
                  <c:v>38718.0</c:v>
                </c:pt>
                <c:pt idx="1">
                  <c:v>38808.0</c:v>
                </c:pt>
                <c:pt idx="2">
                  <c:v>38899.0</c:v>
                </c:pt>
                <c:pt idx="3">
                  <c:v>38991.0</c:v>
                </c:pt>
                <c:pt idx="4">
                  <c:v>39083.0</c:v>
                </c:pt>
                <c:pt idx="5">
                  <c:v>39173.0</c:v>
                </c:pt>
                <c:pt idx="6">
                  <c:v>39264.0</c:v>
                </c:pt>
                <c:pt idx="7">
                  <c:v>39356.0</c:v>
                </c:pt>
                <c:pt idx="8">
                  <c:v>39448.0</c:v>
                </c:pt>
                <c:pt idx="9">
                  <c:v>39539.0</c:v>
                </c:pt>
                <c:pt idx="10">
                  <c:v>39630.0</c:v>
                </c:pt>
                <c:pt idx="11">
                  <c:v>39722.0</c:v>
                </c:pt>
                <c:pt idx="12">
                  <c:v>39814.0</c:v>
                </c:pt>
                <c:pt idx="13">
                  <c:v>39904.0</c:v>
                </c:pt>
                <c:pt idx="14">
                  <c:v>39995.0</c:v>
                </c:pt>
                <c:pt idx="15">
                  <c:v>40087.0</c:v>
                </c:pt>
                <c:pt idx="16">
                  <c:v>40179.0</c:v>
                </c:pt>
                <c:pt idx="17">
                  <c:v>40269.0</c:v>
                </c:pt>
                <c:pt idx="18">
                  <c:v>40360.0</c:v>
                </c:pt>
                <c:pt idx="19">
                  <c:v>40452.0</c:v>
                </c:pt>
              </c:numCache>
            </c:numRef>
          </c:cat>
          <c:val>
            <c:numRef>
              <c:f>Summary!$D$11:$D$42</c:f>
              <c:numCache>
                <c:formatCode>0.0</c:formatCode>
                <c:ptCount val="32"/>
                <c:pt idx="0">
                  <c:v>31.63620705000295</c:v>
                </c:pt>
                <c:pt idx="1">
                  <c:v>31.17809240149393</c:v>
                </c:pt>
                <c:pt idx="2">
                  <c:v>31.96698434399628</c:v>
                </c:pt>
                <c:pt idx="3">
                  <c:v>31.81205963893903</c:v>
                </c:pt>
                <c:pt idx="4">
                  <c:v>32.57390464748578</c:v>
                </c:pt>
                <c:pt idx="5">
                  <c:v>31.52415823212119</c:v>
                </c:pt>
                <c:pt idx="6">
                  <c:v>33.61488597792678</c:v>
                </c:pt>
                <c:pt idx="7">
                  <c:v>35.14263577458088</c:v>
                </c:pt>
                <c:pt idx="8">
                  <c:v>36.47827241603123</c:v>
                </c:pt>
                <c:pt idx="9">
                  <c:v>37.1253632800829</c:v>
                </c:pt>
                <c:pt idx="10">
                  <c:v>56.31893615210763</c:v>
                </c:pt>
                <c:pt idx="11">
                  <c:v>70.15041114335203</c:v>
                </c:pt>
                <c:pt idx="12">
                  <c:v>100.0209127982883</c:v>
                </c:pt>
                <c:pt idx="13">
                  <c:v>125.9909232344038</c:v>
                </c:pt>
                <c:pt idx="14">
                  <c:v>141.5258122223005</c:v>
                </c:pt>
                <c:pt idx="15">
                  <c:v>144.355037562786</c:v>
                </c:pt>
                <c:pt idx="16">
                  <c:v>147.6349553524166</c:v>
                </c:pt>
                <c:pt idx="17">
                  <c:v>132.6782269509958</c:v>
                </c:pt>
                <c:pt idx="18">
                  <c:v>130.8584189794845</c:v>
                </c:pt>
                <c:pt idx="19">
                  <c:v>123.3802435445238</c:v>
                </c:pt>
                <c:pt idx="20">
                  <c:v>111.5432610548024</c:v>
                </c:pt>
                <c:pt idx="21">
                  <c:v>101.02288733028</c:v>
                </c:pt>
              </c:numCache>
            </c:numRef>
          </c:val>
        </c:ser>
        <c:ser>
          <c:idx val="5"/>
          <c:order val="2"/>
          <c:tx>
            <c:strRef>
              <c:f>Summary!$E$8</c:f>
              <c:strCache>
                <c:ptCount val="1"/>
                <c:pt idx="0">
                  <c:v>SNAP</c:v>
                </c:pt>
              </c:strCache>
            </c:strRef>
          </c:tx>
          <c:spPr>
            <a:solidFill>
              <a:srgbClr val="DB843D"/>
            </a:solidFill>
            <a:ln w="25400">
              <a:noFill/>
            </a:ln>
          </c:spPr>
          <c:val>
            <c:numRef>
              <c:f>Summary!$E$11:$E$42</c:f>
              <c:numCache>
                <c:formatCode>0.0</c:formatCode>
                <c:ptCount val="32"/>
                <c:pt idx="0">
                  <c:v>30.18309819084376</c:v>
                </c:pt>
                <c:pt idx="1">
                  <c:v>29.8119110425118</c:v>
                </c:pt>
                <c:pt idx="2">
                  <c:v>29.07420917945074</c:v>
                </c:pt>
                <c:pt idx="3">
                  <c:v>29.3007397636398</c:v>
                </c:pt>
                <c:pt idx="4">
                  <c:v>30.20915429452751</c:v>
                </c:pt>
                <c:pt idx="5">
                  <c:v>29.89811772285513</c:v>
                </c:pt>
                <c:pt idx="6">
                  <c:v>29.63602901336072</c:v>
                </c:pt>
                <c:pt idx="7">
                  <c:v>31.48553737402067</c:v>
                </c:pt>
                <c:pt idx="8">
                  <c:v>31.93218319114388</c:v>
                </c:pt>
                <c:pt idx="9">
                  <c:v>32.47606747942495</c:v>
                </c:pt>
                <c:pt idx="10">
                  <c:v>34.74108620016694</c:v>
                </c:pt>
                <c:pt idx="11">
                  <c:v>41.47156981863782</c:v>
                </c:pt>
                <c:pt idx="12">
                  <c:v>42.43019051311764</c:v>
                </c:pt>
                <c:pt idx="13">
                  <c:v>52.33556374957453</c:v>
                </c:pt>
                <c:pt idx="14">
                  <c:v>54.9553767005287</c:v>
                </c:pt>
                <c:pt idx="15">
                  <c:v>57.64952323581824</c:v>
                </c:pt>
                <c:pt idx="16">
                  <c:v>59.22574520247304</c:v>
                </c:pt>
                <c:pt idx="17">
                  <c:v>60.76354774512014</c:v>
                </c:pt>
                <c:pt idx="18">
                  <c:v>63.1199769345779</c:v>
                </c:pt>
                <c:pt idx="19">
                  <c:v>64.50938919951555</c:v>
                </c:pt>
                <c:pt idx="20">
                  <c:v>64.85254153963076</c:v>
                </c:pt>
                <c:pt idx="21">
                  <c:v>65.1616488355357</c:v>
                </c:pt>
              </c:numCache>
            </c:numRef>
          </c:val>
        </c:ser>
        <c:ser>
          <c:idx val="2"/>
          <c:order val="3"/>
          <c:tx>
            <c:strRef>
              <c:f>Summary!$F$8</c:f>
              <c:strCache>
                <c:ptCount val="1"/>
                <c:pt idx="0">
                  <c:v>Other means-tested transfers</c:v>
                </c:pt>
              </c:strCache>
            </c:strRef>
          </c:tx>
          <c:spPr>
            <a:solidFill>
              <a:srgbClr val="89A54E"/>
            </a:solidFill>
            <a:ln w="25400">
              <a:noFill/>
            </a:ln>
          </c:spPr>
          <c:cat>
            <c:numRef>
              <c:f>[0]!chartdatesq</c:f>
              <c:numCache>
                <c:formatCode>[$-409]mmm\-yy;@</c:formatCode>
                <c:ptCount val="20"/>
                <c:pt idx="0">
                  <c:v>38718.0</c:v>
                </c:pt>
                <c:pt idx="1">
                  <c:v>38808.0</c:v>
                </c:pt>
                <c:pt idx="2">
                  <c:v>38899.0</c:v>
                </c:pt>
                <c:pt idx="3">
                  <c:v>38991.0</c:v>
                </c:pt>
                <c:pt idx="4">
                  <c:v>39083.0</c:v>
                </c:pt>
                <c:pt idx="5">
                  <c:v>39173.0</c:v>
                </c:pt>
                <c:pt idx="6">
                  <c:v>39264.0</c:v>
                </c:pt>
                <c:pt idx="7">
                  <c:v>39356.0</c:v>
                </c:pt>
                <c:pt idx="8">
                  <c:v>39448.0</c:v>
                </c:pt>
                <c:pt idx="9">
                  <c:v>39539.0</c:v>
                </c:pt>
                <c:pt idx="10">
                  <c:v>39630.0</c:v>
                </c:pt>
                <c:pt idx="11">
                  <c:v>39722.0</c:v>
                </c:pt>
                <c:pt idx="12">
                  <c:v>39814.0</c:v>
                </c:pt>
                <c:pt idx="13">
                  <c:v>39904.0</c:v>
                </c:pt>
                <c:pt idx="14">
                  <c:v>39995.0</c:v>
                </c:pt>
                <c:pt idx="15">
                  <c:v>40087.0</c:v>
                </c:pt>
                <c:pt idx="16">
                  <c:v>40179.0</c:v>
                </c:pt>
                <c:pt idx="17">
                  <c:v>40269.0</c:v>
                </c:pt>
                <c:pt idx="18">
                  <c:v>40360.0</c:v>
                </c:pt>
                <c:pt idx="19">
                  <c:v>40452.0</c:v>
                </c:pt>
              </c:numCache>
            </c:numRef>
          </c:cat>
          <c:val>
            <c:numRef>
              <c:f>Summary!$F$11:$F$42</c:f>
              <c:numCache>
                <c:formatCode>0.0</c:formatCode>
                <c:ptCount val="32"/>
                <c:pt idx="0">
                  <c:v>83.88020598519617</c:v>
                </c:pt>
                <c:pt idx="1">
                  <c:v>84.0742492258457</c:v>
                </c:pt>
                <c:pt idx="2">
                  <c:v>83.71566216288824</c:v>
                </c:pt>
                <c:pt idx="3">
                  <c:v>84.34720928406724</c:v>
                </c:pt>
                <c:pt idx="4">
                  <c:v>85.04407907052555</c:v>
                </c:pt>
                <c:pt idx="5">
                  <c:v>85.36540631658387</c:v>
                </c:pt>
                <c:pt idx="6">
                  <c:v>86.16821687970442</c:v>
                </c:pt>
                <c:pt idx="7">
                  <c:v>86.68106543225116</c:v>
                </c:pt>
                <c:pt idx="8">
                  <c:v>86.97494604283558</c:v>
                </c:pt>
                <c:pt idx="9">
                  <c:v>88.01243262612522</c:v>
                </c:pt>
                <c:pt idx="10">
                  <c:v>88.8000921567066</c:v>
                </c:pt>
                <c:pt idx="11">
                  <c:v>91.21156623454498</c:v>
                </c:pt>
                <c:pt idx="12">
                  <c:v>93.98309419827693</c:v>
                </c:pt>
                <c:pt idx="13">
                  <c:v>95.0216285100621</c:v>
                </c:pt>
                <c:pt idx="14">
                  <c:v>95.55399953824428</c:v>
                </c:pt>
                <c:pt idx="15">
                  <c:v>95.8328042319057</c:v>
                </c:pt>
                <c:pt idx="16">
                  <c:v>95.06217521845353</c:v>
                </c:pt>
                <c:pt idx="17">
                  <c:v>95.64522163047863</c:v>
                </c:pt>
                <c:pt idx="18">
                  <c:v>96.58185785360736</c:v>
                </c:pt>
                <c:pt idx="19">
                  <c:v>96.08753762641528</c:v>
                </c:pt>
                <c:pt idx="20">
                  <c:v>94.33243552788086</c:v>
                </c:pt>
                <c:pt idx="21">
                  <c:v>94.03955372215231</c:v>
                </c:pt>
              </c:numCache>
            </c:numRef>
          </c:val>
        </c:ser>
        <c:ser>
          <c:idx val="3"/>
          <c:order val="4"/>
          <c:tx>
            <c:strRef>
              <c:f>Summary!$G$8</c:f>
              <c:strCache>
                <c:ptCount val="1"/>
                <c:pt idx="0">
                  <c:v>Home retention actions</c:v>
                </c:pt>
              </c:strCache>
            </c:strRef>
          </c:tx>
          <c:spPr>
            <a:solidFill>
              <a:srgbClr val="71588F"/>
            </a:solidFill>
            <a:ln w="25400">
              <a:noFill/>
            </a:ln>
          </c:spPr>
          <c:cat>
            <c:numRef>
              <c:f>[0]!chartdatesq</c:f>
              <c:numCache>
                <c:formatCode>[$-409]mmm\-yy;@</c:formatCode>
                <c:ptCount val="20"/>
                <c:pt idx="0">
                  <c:v>38718.0</c:v>
                </c:pt>
                <c:pt idx="1">
                  <c:v>38808.0</c:v>
                </c:pt>
                <c:pt idx="2">
                  <c:v>38899.0</c:v>
                </c:pt>
                <c:pt idx="3">
                  <c:v>38991.0</c:v>
                </c:pt>
                <c:pt idx="4">
                  <c:v>39083.0</c:v>
                </c:pt>
                <c:pt idx="5">
                  <c:v>39173.0</c:v>
                </c:pt>
                <c:pt idx="6">
                  <c:v>39264.0</c:v>
                </c:pt>
                <c:pt idx="7">
                  <c:v>39356.0</c:v>
                </c:pt>
                <c:pt idx="8">
                  <c:v>39448.0</c:v>
                </c:pt>
                <c:pt idx="9">
                  <c:v>39539.0</c:v>
                </c:pt>
                <c:pt idx="10">
                  <c:v>39630.0</c:v>
                </c:pt>
                <c:pt idx="11">
                  <c:v>39722.0</c:v>
                </c:pt>
                <c:pt idx="12">
                  <c:v>39814.0</c:v>
                </c:pt>
                <c:pt idx="13">
                  <c:v>39904.0</c:v>
                </c:pt>
                <c:pt idx="14">
                  <c:v>39995.0</c:v>
                </c:pt>
                <c:pt idx="15">
                  <c:v>40087.0</c:v>
                </c:pt>
                <c:pt idx="16">
                  <c:v>40179.0</c:v>
                </c:pt>
                <c:pt idx="17">
                  <c:v>40269.0</c:v>
                </c:pt>
                <c:pt idx="18">
                  <c:v>40360.0</c:v>
                </c:pt>
                <c:pt idx="19">
                  <c:v>40452.0</c:v>
                </c:pt>
              </c:numCache>
            </c:numRef>
          </c:cat>
          <c:val>
            <c:numRef>
              <c:f>Summary!$G$11:$G$42</c:f>
              <c:numCache>
                <c:formatCode>0.0</c:formatCode>
                <c:ptCount val="32"/>
                <c:pt idx="0">
                  <c:v>2.05667480831536</c:v>
                </c:pt>
                <c:pt idx="1">
                  <c:v>2.346304565941325</c:v>
                </c:pt>
                <c:pt idx="2">
                  <c:v>2.862387296155139</c:v>
                </c:pt>
                <c:pt idx="3">
                  <c:v>3.143336673753691</c:v>
                </c:pt>
                <c:pt idx="4">
                  <c:v>3.842432825700312</c:v>
                </c:pt>
                <c:pt idx="5">
                  <c:v>4.96933868979262</c:v>
                </c:pt>
                <c:pt idx="6">
                  <c:v>7.176023756105031</c:v>
                </c:pt>
                <c:pt idx="7">
                  <c:v>12.14059690074667</c:v>
                </c:pt>
                <c:pt idx="8">
                  <c:v>28.53998655932708</c:v>
                </c:pt>
                <c:pt idx="9">
                  <c:v>35.17471379987425</c:v>
                </c:pt>
                <c:pt idx="10">
                  <c:v>36.95036692306545</c:v>
                </c:pt>
                <c:pt idx="11">
                  <c:v>42.0369708089734</c:v>
                </c:pt>
                <c:pt idx="12">
                  <c:v>50.31563123263693</c:v>
                </c:pt>
                <c:pt idx="13">
                  <c:v>56.83238816761074</c:v>
                </c:pt>
                <c:pt idx="14">
                  <c:v>92.6273136953477</c:v>
                </c:pt>
                <c:pt idx="15">
                  <c:v>82.93248254921173</c:v>
                </c:pt>
                <c:pt idx="16">
                  <c:v>85.76934150992473</c:v>
                </c:pt>
                <c:pt idx="17">
                  <c:v>80.43034243729942</c:v>
                </c:pt>
                <c:pt idx="18">
                  <c:v>67.64027403217834</c:v>
                </c:pt>
                <c:pt idx="19">
                  <c:v>67.29198203437877</c:v>
                </c:pt>
                <c:pt idx="20">
                  <c:v>77.21356720797024</c:v>
                </c:pt>
              </c:numCache>
            </c:numRef>
          </c:val>
        </c:ser>
        <c:ser>
          <c:idx val="4"/>
          <c:order val="5"/>
          <c:tx>
            <c:strRef>
              <c:f>Summary!$H$8</c:f>
              <c:strCache>
                <c:ptCount val="1"/>
                <c:pt idx="0">
                  <c:v>Consumer loan charge-offs</c:v>
                </c:pt>
              </c:strCache>
            </c:strRef>
          </c:tx>
          <c:spPr>
            <a:solidFill>
              <a:srgbClr val="4198AF"/>
            </a:solidFill>
            <a:ln w="25400">
              <a:noFill/>
            </a:ln>
          </c:spPr>
          <c:cat>
            <c:numRef>
              <c:f>[0]!chartdatesq</c:f>
              <c:numCache>
                <c:formatCode>[$-409]mmm\-yy;@</c:formatCode>
                <c:ptCount val="20"/>
                <c:pt idx="0">
                  <c:v>38718.0</c:v>
                </c:pt>
                <c:pt idx="1">
                  <c:v>38808.0</c:v>
                </c:pt>
                <c:pt idx="2">
                  <c:v>38899.0</c:v>
                </c:pt>
                <c:pt idx="3">
                  <c:v>38991.0</c:v>
                </c:pt>
                <c:pt idx="4">
                  <c:v>39083.0</c:v>
                </c:pt>
                <c:pt idx="5">
                  <c:v>39173.0</c:v>
                </c:pt>
                <c:pt idx="6">
                  <c:v>39264.0</c:v>
                </c:pt>
                <c:pt idx="7">
                  <c:v>39356.0</c:v>
                </c:pt>
                <c:pt idx="8">
                  <c:v>39448.0</c:v>
                </c:pt>
                <c:pt idx="9">
                  <c:v>39539.0</c:v>
                </c:pt>
                <c:pt idx="10">
                  <c:v>39630.0</c:v>
                </c:pt>
                <c:pt idx="11">
                  <c:v>39722.0</c:v>
                </c:pt>
                <c:pt idx="12">
                  <c:v>39814.0</c:v>
                </c:pt>
                <c:pt idx="13">
                  <c:v>39904.0</c:v>
                </c:pt>
                <c:pt idx="14">
                  <c:v>39995.0</c:v>
                </c:pt>
                <c:pt idx="15">
                  <c:v>40087.0</c:v>
                </c:pt>
                <c:pt idx="16">
                  <c:v>40179.0</c:v>
                </c:pt>
                <c:pt idx="17">
                  <c:v>40269.0</c:v>
                </c:pt>
                <c:pt idx="18">
                  <c:v>40360.0</c:v>
                </c:pt>
                <c:pt idx="19">
                  <c:v>40452.0</c:v>
                </c:pt>
              </c:numCache>
            </c:numRef>
          </c:cat>
          <c:val>
            <c:numRef>
              <c:f>Summary!$H$11:$H$42</c:f>
              <c:numCache>
                <c:formatCode>0.0</c:formatCode>
                <c:ptCount val="32"/>
                <c:pt idx="0">
                  <c:v>15.30971198547655</c:v>
                </c:pt>
                <c:pt idx="1">
                  <c:v>16.98077451618632</c:v>
                </c:pt>
                <c:pt idx="2">
                  <c:v>19.53721788213674</c:v>
                </c:pt>
                <c:pt idx="3">
                  <c:v>19.89174651679797</c:v>
                </c:pt>
                <c:pt idx="4">
                  <c:v>21.07364928085252</c:v>
                </c:pt>
                <c:pt idx="5">
                  <c:v>21.31028249090797</c:v>
                </c:pt>
                <c:pt idx="6">
                  <c:v>24.02526379234648</c:v>
                </c:pt>
                <c:pt idx="7">
                  <c:v>25.93715525504081</c:v>
                </c:pt>
                <c:pt idx="8">
                  <c:v>29.00684547941739</c:v>
                </c:pt>
                <c:pt idx="9">
                  <c:v>32.67253877348191</c:v>
                </c:pt>
                <c:pt idx="10">
                  <c:v>35.48245318716362</c:v>
                </c:pt>
                <c:pt idx="11">
                  <c:v>41.8696299620757</c:v>
                </c:pt>
                <c:pt idx="12">
                  <c:v>48.62754607663825</c:v>
                </c:pt>
                <c:pt idx="13">
                  <c:v>56.30864170671462</c:v>
                </c:pt>
                <c:pt idx="14">
                  <c:v>55.90221584900147</c:v>
                </c:pt>
                <c:pt idx="15">
                  <c:v>54.07109886008706</c:v>
                </c:pt>
                <c:pt idx="16">
                  <c:v>86.06788417755656</c:v>
                </c:pt>
                <c:pt idx="17">
                  <c:v>85.4770096824783</c:v>
                </c:pt>
                <c:pt idx="18">
                  <c:v>66.1855262875261</c:v>
                </c:pt>
                <c:pt idx="19">
                  <c:v>58.77124505584833</c:v>
                </c:pt>
                <c:pt idx="20">
                  <c:v>51.69871630168873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071474456"/>
        <c:axId val="-2071470904"/>
      </c:areaChart>
      <c:dateAx>
        <c:axId val="-2071474456"/>
        <c:scaling>
          <c:orientation val="minMax"/>
        </c:scaling>
        <c:delete val="0"/>
        <c:axPos val="b"/>
        <c:numFmt formatCode="[$-409]yyyy;@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-2071470904"/>
        <c:crosses val="autoZero"/>
        <c:auto val="1"/>
        <c:lblOffset val="100"/>
        <c:baseTimeUnit val="months"/>
        <c:majorUnit val="1.0"/>
        <c:majorTimeUnit val="years"/>
      </c:dateAx>
      <c:valAx>
        <c:axId val="-207147090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US"/>
                  <a:t>stacked billions of FY2010 $, seasonally adjusted annual rates</a:t>
                </a:r>
              </a:p>
            </c:rich>
          </c:tx>
          <c:layout/>
          <c:overlay val="0"/>
          <c:spPr>
            <a:noFill/>
            <a:ln w="25400">
              <a:noFill/>
            </a:ln>
          </c:spPr>
        </c:title>
        <c:numFmt formatCode="General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-2071474456"/>
        <c:crosses val="autoZero"/>
        <c:crossBetween val="midCat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107658157602664"/>
          <c:y val="0.264274061990212"/>
          <c:w val="0.30299667036626"/>
          <c:h val="0.26427406199021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40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Summary!$V$1</c:f>
          <c:strCache>
            <c:ptCount val="1"/>
            <c:pt idx="0">
              <c:v>Figure 8.  Average marginal tax on employment for prime-aged persons</c:v>
            </c:pt>
          </c:strCache>
        </c:strRef>
      </c:tx>
      <c:layout/>
      <c:overlay val="1"/>
      <c:spPr>
        <a:noFill/>
        <a:ln w="25400">
          <a:noFill/>
        </a:ln>
      </c:spPr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0941851660022132"/>
          <c:y val="0.0659865044076193"/>
          <c:w val="0.844920799217909"/>
          <c:h val="0.844515397105326"/>
        </c:manualLayout>
      </c:layout>
      <c:lineChart>
        <c:grouping val="standard"/>
        <c:varyColors val="0"/>
        <c:ser>
          <c:idx val="1"/>
          <c:order val="0"/>
          <c:tx>
            <c:v>Employment tax for simulation purposes (Full recovery scenario)</c:v>
          </c:tx>
          <c:spPr>
            <a:ln w="381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numRef>
              <c:f>Summary!$A$11:$A$30</c:f>
              <c:numCache>
                <c:formatCode>[$-409]mmm\-yy;@</c:formatCode>
                <c:ptCount val="20"/>
                <c:pt idx="0">
                  <c:v>38718.0</c:v>
                </c:pt>
                <c:pt idx="1">
                  <c:v>38808.0</c:v>
                </c:pt>
                <c:pt idx="2">
                  <c:v>38899.0</c:v>
                </c:pt>
                <c:pt idx="3">
                  <c:v>38991.0</c:v>
                </c:pt>
                <c:pt idx="4">
                  <c:v>39083.0</c:v>
                </c:pt>
                <c:pt idx="5">
                  <c:v>39173.0</c:v>
                </c:pt>
                <c:pt idx="6">
                  <c:v>39264.0</c:v>
                </c:pt>
                <c:pt idx="7">
                  <c:v>39356.0</c:v>
                </c:pt>
                <c:pt idx="8">
                  <c:v>39448.0</c:v>
                </c:pt>
                <c:pt idx="9">
                  <c:v>39539.0</c:v>
                </c:pt>
                <c:pt idx="10">
                  <c:v>39630.0</c:v>
                </c:pt>
                <c:pt idx="11">
                  <c:v>39722.0</c:v>
                </c:pt>
                <c:pt idx="12">
                  <c:v>39814.0</c:v>
                </c:pt>
                <c:pt idx="13">
                  <c:v>39904.0</c:v>
                </c:pt>
                <c:pt idx="14">
                  <c:v>39995.0</c:v>
                </c:pt>
                <c:pt idx="15">
                  <c:v>40087.0</c:v>
                </c:pt>
                <c:pt idx="16">
                  <c:v>40179.0</c:v>
                </c:pt>
                <c:pt idx="17">
                  <c:v>40269.0</c:v>
                </c:pt>
                <c:pt idx="18">
                  <c:v>40360.0</c:v>
                </c:pt>
                <c:pt idx="19">
                  <c:v>40452.0</c:v>
                </c:pt>
              </c:numCache>
            </c:numRef>
          </c:cat>
          <c:val>
            <c:numRef>
              <c:f>Summary!$X$11:$X$30</c:f>
              <c:numCache>
                <c:formatCode>#,##0.00</c:formatCode>
                <c:ptCount val="20"/>
                <c:pt idx="0">
                  <c:v>0.25</c:v>
                </c:pt>
                <c:pt idx="1">
                  <c:v>0.25</c:v>
                </c:pt>
                <c:pt idx="2">
                  <c:v>0.25</c:v>
                </c:pt>
                <c:pt idx="3">
                  <c:v>0.25</c:v>
                </c:pt>
                <c:pt idx="4">
                  <c:v>0.25</c:v>
                </c:pt>
                <c:pt idx="5">
                  <c:v>0.25</c:v>
                </c:pt>
                <c:pt idx="6">
                  <c:v>0.25</c:v>
                </c:pt>
                <c:pt idx="7">
                  <c:v>0.25</c:v>
                </c:pt>
                <c:pt idx="8">
                  <c:v>0.265102599179207</c:v>
                </c:pt>
                <c:pt idx="9">
                  <c:v>0.280041039671683</c:v>
                </c:pt>
                <c:pt idx="10">
                  <c:v>0.294979480164159</c:v>
                </c:pt>
                <c:pt idx="11">
                  <c:v>0.310082079343365</c:v>
                </c:pt>
                <c:pt idx="12">
                  <c:v>0.325184678522572</c:v>
                </c:pt>
                <c:pt idx="13">
                  <c:v>0.339958960328317</c:v>
                </c:pt>
                <c:pt idx="14">
                  <c:v>0.354897400820793</c:v>
                </c:pt>
                <c:pt idx="15">
                  <c:v>0.37</c:v>
                </c:pt>
                <c:pt idx="16">
                  <c:v>0.362443531827515</c:v>
                </c:pt>
                <c:pt idx="17">
                  <c:v>0.355051334702259</c:v>
                </c:pt>
                <c:pt idx="18">
                  <c:v>0.347577002053388</c:v>
                </c:pt>
                <c:pt idx="19">
                  <c:v>0.340020533880903</c:v>
                </c:pt>
              </c:numCache>
            </c:numRef>
          </c:val>
          <c:smooth val="0"/>
        </c:ser>
        <c:ser>
          <c:idx val="0"/>
          <c:order val="1"/>
          <c:tx>
            <c:v>Measured expenditure per non-employed + constant 7.5% of employer cost for explicit taxes</c:v>
          </c:tx>
          <c:spPr>
            <a:ln w="28575">
              <a:noFill/>
            </a:ln>
          </c:spPr>
          <c:marker>
            <c:symbol val="circle"/>
            <c:size val="8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cat>
            <c:numRef>
              <c:f>Summary!$A$11:$A$30</c:f>
              <c:numCache>
                <c:formatCode>[$-409]mmm\-yy;@</c:formatCode>
                <c:ptCount val="20"/>
                <c:pt idx="0">
                  <c:v>38718.0</c:v>
                </c:pt>
                <c:pt idx="1">
                  <c:v>38808.0</c:v>
                </c:pt>
                <c:pt idx="2">
                  <c:v>38899.0</c:v>
                </c:pt>
                <c:pt idx="3">
                  <c:v>38991.0</c:v>
                </c:pt>
                <c:pt idx="4">
                  <c:v>39083.0</c:v>
                </c:pt>
                <c:pt idx="5">
                  <c:v>39173.0</c:v>
                </c:pt>
                <c:pt idx="6">
                  <c:v>39264.0</c:v>
                </c:pt>
                <c:pt idx="7">
                  <c:v>39356.0</c:v>
                </c:pt>
                <c:pt idx="8">
                  <c:v>39448.0</c:v>
                </c:pt>
                <c:pt idx="9">
                  <c:v>39539.0</c:v>
                </c:pt>
                <c:pt idx="10">
                  <c:v>39630.0</c:v>
                </c:pt>
                <c:pt idx="11">
                  <c:v>39722.0</c:v>
                </c:pt>
                <c:pt idx="12">
                  <c:v>39814.0</c:v>
                </c:pt>
                <c:pt idx="13">
                  <c:v>39904.0</c:v>
                </c:pt>
                <c:pt idx="14">
                  <c:v>39995.0</c:v>
                </c:pt>
                <c:pt idx="15">
                  <c:v>40087.0</c:v>
                </c:pt>
                <c:pt idx="16">
                  <c:v>40179.0</c:v>
                </c:pt>
                <c:pt idx="17">
                  <c:v>40269.0</c:v>
                </c:pt>
                <c:pt idx="18">
                  <c:v>40360.0</c:v>
                </c:pt>
                <c:pt idx="19">
                  <c:v>40452.0</c:v>
                </c:pt>
              </c:numCache>
            </c:numRef>
          </c:cat>
          <c:val>
            <c:numRef>
              <c:f>Summary!$V$11:$V$30</c:f>
              <c:numCache>
                <c:formatCode>#,##0.00</c:formatCode>
                <c:ptCount val="20"/>
                <c:pt idx="0">
                  <c:v>0.231906853583958</c:v>
                </c:pt>
                <c:pt idx="1">
                  <c:v>0.236840331674263</c:v>
                </c:pt>
                <c:pt idx="2">
                  <c:v>0.244042571890186</c:v>
                </c:pt>
                <c:pt idx="3">
                  <c:v>0.243731104389066</c:v>
                </c:pt>
                <c:pt idx="4">
                  <c:v>0.245670743264728</c:v>
                </c:pt>
                <c:pt idx="5">
                  <c:v>0.246053199198147</c:v>
                </c:pt>
                <c:pt idx="6">
                  <c:v>0.247412880876435</c:v>
                </c:pt>
                <c:pt idx="7">
                  <c:v>0.260863176660689</c:v>
                </c:pt>
                <c:pt idx="8">
                  <c:v>0.26369053107086</c:v>
                </c:pt>
                <c:pt idx="9">
                  <c:v>0.276729544815698</c:v>
                </c:pt>
                <c:pt idx="10">
                  <c:v>0.289679620885046</c:v>
                </c:pt>
                <c:pt idx="11">
                  <c:v>0.301242395538471</c:v>
                </c:pt>
                <c:pt idx="12">
                  <c:v>0.309797732313213</c:v>
                </c:pt>
                <c:pt idx="13">
                  <c:v>0.33390807244325</c:v>
                </c:pt>
                <c:pt idx="14">
                  <c:v>0.347590251679474</c:v>
                </c:pt>
                <c:pt idx="15">
                  <c:v>0.351055702667065</c:v>
                </c:pt>
                <c:pt idx="16">
                  <c:v>0.367126863255071</c:v>
                </c:pt>
                <c:pt idx="17">
                  <c:v>0.375147625202093</c:v>
                </c:pt>
                <c:pt idx="18">
                  <c:v>0.358408090469303</c:v>
                </c:pt>
                <c:pt idx="19">
                  <c:v>0.347502235565014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071412824"/>
        <c:axId val="-2071406904"/>
      </c:lineChart>
      <c:dateAx>
        <c:axId val="-2071412824"/>
        <c:scaling>
          <c:orientation val="minMax"/>
          <c:min val="38718.0"/>
        </c:scaling>
        <c:delete val="0"/>
        <c:axPos val="b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US"/>
                  <a:t>Quarter Beginning</a:t>
                </a:r>
              </a:p>
            </c:rich>
          </c:tx>
          <c:layout/>
          <c:overlay val="0"/>
          <c:spPr>
            <a:noFill/>
            <a:ln w="25400">
              <a:noFill/>
            </a:ln>
          </c:spPr>
        </c:title>
        <c:numFmt formatCode="[$-409]mmm\-yy;@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-2071406904"/>
        <c:crosses val="autoZero"/>
        <c:auto val="1"/>
        <c:lblOffset val="100"/>
        <c:baseTimeUnit val="months"/>
        <c:majorUnit val="6.0"/>
        <c:majorTimeUnit val="months"/>
      </c:dateAx>
      <c:valAx>
        <c:axId val="-2071406904"/>
        <c:scaling>
          <c:orientation val="minMax"/>
          <c:min val="0.1"/>
        </c:scaling>
        <c:delete val="0"/>
        <c:axPos val="l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US"/>
                  <a:t>share of employer cost</a:t>
                </a:r>
              </a:p>
            </c:rich>
          </c:tx>
          <c:layout/>
          <c:overlay val="0"/>
          <c:spPr>
            <a:noFill/>
            <a:ln w="25400">
              <a:noFill/>
            </a:ln>
          </c:spPr>
        </c:title>
        <c:numFmt formatCode="General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-2071412824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43956043956044"/>
          <c:y val="0.535552193645991"/>
          <c:w val="0.401098901098901"/>
          <c:h val="0.170953101361573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40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16" workbookViewId="0"/>
  </sheetViews>
  <pageMargins left="0.7" right="0.7" top="0.75" bottom="0.75" header="0.3" footer="0.3"/>
  <pageSetup orientation="landscape" horizontalDpi="4294967292" verticalDpi="4294967292"/>
  <headerFooter alignWithMargins="0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125" workbookViewId="0"/>
  </sheetViews>
  <pageMargins left="0.7" right="0.7" top="0.75" bottom="0.75" header="0.3" footer="0.3"/>
  <pageSetup orientation="landscape"/>
  <headerFooter alignWithMargins="0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49138" cy="627336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0.13482</cdr:x>
      <cdr:y>0.89978</cdr:y>
    </cdr:from>
    <cdr:to>
      <cdr:x>0.93204</cdr:x>
      <cdr:y>0.97917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167524" y="5659054"/>
          <a:ext cx="6903720" cy="49935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 u="sng"/>
            <a:t>Note</a:t>
          </a:r>
          <a:r>
            <a:rPr lang="en-US" sz="1200"/>
            <a:t>: Program</a:t>
          </a:r>
          <a:r>
            <a:rPr lang="en-US" sz="1200" baseline="0"/>
            <a:t> expenditure is adjusted to exclude spending on elderly participants.  Medicaid expenditure is also multiplied by 0.35 to reflect participants' valuations, as estimated by Gallen (2015).</a:t>
          </a:r>
          <a:endParaRPr lang="en-US" sz="1200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66480" cy="628904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0.13005</cdr:x>
      <cdr:y>0.80266</cdr:y>
    </cdr:from>
    <cdr:to>
      <cdr:x>0.92619</cdr:x>
      <cdr:y>0.90436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127760" y="5052060"/>
          <a:ext cx="6903720" cy="6400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200" u="sng"/>
            <a:t>Notes</a:t>
          </a:r>
          <a:r>
            <a:rPr lang="en-US" sz="1200"/>
            <a:t>: (i) Program</a:t>
          </a:r>
          <a:r>
            <a:rPr lang="en-US" sz="1200" baseline="0"/>
            <a:t> expenditure is adjusted to exclude spending on elderly participants.  Medicaid expenditure is also multiplied by 0.35 to reflect participants' valuations, as estimated by Gallen (2015).</a:t>
          </a:r>
        </a:p>
        <a:p xmlns:a="http://schemas.openxmlformats.org/drawingml/2006/main">
          <a:r>
            <a:rPr lang="en-US" sz="1200" baseline="0"/>
            <a:t>(ii) prime-aged non-employed is measured as in Mulligan (2012).</a:t>
          </a:r>
          <a:endParaRPr lang="en-US" sz="1200"/>
        </a:p>
      </cdr:txBody>
    </cdr:sp>
  </cdr:relSizeAnchor>
</c:userShapes>
</file>

<file path=xl/theme/theme1.xml><?xml version="1.0" encoding="utf-8"?>
<a:theme xmlns:a="http://schemas.openxmlformats.org/drawingml/2006/main" name="CBMro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BMThemeTR">
      <a:majorFont>
        <a:latin typeface="Cambria"/>
        <a:ea typeface=""/>
        <a:cs typeface=""/>
      </a:majorFont>
      <a:minorFont>
        <a:latin typeface="Times New Roman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://research.stlouisfed.org/fred2/series/ACLACB" TargetMode="External"/><Relationship Id="rId4" Type="http://schemas.openxmlformats.org/officeDocument/2006/relationships/hyperlink" Target="http://research.stlouisfed.org/fred2/series/ATAIEALLGSRESFRMACB" TargetMode="External"/><Relationship Id="rId5" Type="http://schemas.openxmlformats.org/officeDocument/2006/relationships/hyperlink" Target="http://research.stlouisfed.org/fred2/series/PCECTPI" TargetMode="External"/><Relationship Id="rId1" Type="http://schemas.openxmlformats.org/officeDocument/2006/relationships/hyperlink" Target="http://research.stlouisfed.org/fred2/series/CORSFRMACBS" TargetMode="External"/><Relationship Id="rId2" Type="http://schemas.openxmlformats.org/officeDocument/2006/relationships/hyperlink" Target="http://research.stlouisfed.org/fred2/series/CORCACBS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://www.socialsecurity.gov/policy/docs/statcomps/ssi_asr/2010/" TargetMode="External"/><Relationship Id="rId2" Type="http://schemas.openxmlformats.org/officeDocument/2006/relationships/hyperlink" Target="https://www.cms.gov/MedicareMedicaidStatSupp/downloads/2010Medicaid.zip,%20Table%2013.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6"/>
  <sheetViews>
    <sheetView tabSelected="1" workbookViewId="0"/>
  </sheetViews>
  <sheetFormatPr baseColWidth="10" defaultColWidth="8.83203125" defaultRowHeight="13" x14ac:dyDescent="0"/>
  <cols>
    <col min="1" max="1" width="10.1640625" bestFit="1" customWidth="1"/>
    <col min="3" max="3" width="9.5" bestFit="1" customWidth="1"/>
  </cols>
  <sheetData>
    <row r="1" spans="1:26">
      <c r="A1" t="str">
        <f>"Figure "&amp;B2&amp;".  Transfers and Loan Discharges for the Nonelderly Unemployed and Financially Distressed"</f>
        <v>Figure 1.  Transfers and Loan Discharges for the Nonelderly Unemployed and Financially Distressed</v>
      </c>
      <c r="V1" t="str">
        <f>"Figure "&amp;W2&amp;".  Average marginal tax on employment for prime-aged persons"</f>
        <v>Figure 8.  Average marginal tax on employment for prime-aged persons</v>
      </c>
    </row>
    <row r="2" spans="1:26">
      <c r="B2" s="22">
        <v>1</v>
      </c>
      <c r="W2" s="22">
        <v>8</v>
      </c>
    </row>
    <row r="3" spans="1:26">
      <c r="A3" s="5">
        <v>40452</v>
      </c>
      <c r="B3" t="s">
        <v>90</v>
      </c>
      <c r="U3" s="6">
        <v>3884.7946666995026</v>
      </c>
      <c r="V3" t="s">
        <v>110</v>
      </c>
    </row>
    <row r="4" spans="1:26">
      <c r="A4">
        <f>MATCH(A3,$A$11:$A$51,0)</f>
        <v>20</v>
      </c>
      <c r="B4" t="s">
        <v>91</v>
      </c>
      <c r="G4" s="2">
        <f>SUM(G19:G22)</f>
        <v>142.70203809124018</v>
      </c>
      <c r="I4" t="s">
        <v>89</v>
      </c>
    </row>
    <row r="5" spans="1:26">
      <c r="C5" s="45" t="s">
        <v>104</v>
      </c>
      <c r="D5" s="45"/>
      <c r="E5" s="45"/>
      <c r="F5" s="45"/>
      <c r="G5" s="45"/>
      <c r="H5" s="45"/>
      <c r="N5" s="45" t="s">
        <v>105</v>
      </c>
      <c r="O5" s="45"/>
      <c r="P5" s="45"/>
      <c r="Q5" s="45"/>
      <c r="R5" s="45"/>
      <c r="S5" s="45"/>
    </row>
    <row r="6" spans="1:26">
      <c r="B6">
        <f>MATCH(B7,Fredconnect!$A$1:$J$1,0)</f>
        <v>9</v>
      </c>
    </row>
    <row r="7" spans="1:26">
      <c r="B7" t="s">
        <v>81</v>
      </c>
      <c r="L7" t="s">
        <v>93</v>
      </c>
      <c r="U7" t="str">
        <f>"replacement rate, at $"&amp;TEXT(U3,"0,000")&amp;"/yr"</f>
        <v>replacement rate, at $3,885/yr</v>
      </c>
      <c r="Z7" t="s">
        <v>92</v>
      </c>
    </row>
    <row r="8" spans="1:26">
      <c r="B8" t="s">
        <v>80</v>
      </c>
      <c r="C8" t="s">
        <v>57</v>
      </c>
      <c r="D8" s="11" t="s">
        <v>44</v>
      </c>
      <c r="E8" s="11" t="s">
        <v>53</v>
      </c>
      <c r="F8" t="s">
        <v>107</v>
      </c>
      <c r="G8" t="s">
        <v>108</v>
      </c>
      <c r="H8" t="s">
        <v>109</v>
      </c>
      <c r="J8" t="s">
        <v>115</v>
      </c>
      <c r="N8" t="s">
        <v>57</v>
      </c>
      <c r="O8" s="11" t="s">
        <v>44</v>
      </c>
      <c r="P8" s="11" t="s">
        <v>53</v>
      </c>
      <c r="Q8" t="s">
        <v>86</v>
      </c>
      <c r="R8" t="s">
        <v>87</v>
      </c>
      <c r="S8" t="s">
        <v>88</v>
      </c>
      <c r="U8" t="s">
        <v>111</v>
      </c>
      <c r="V8" t="s">
        <v>112</v>
      </c>
      <c r="X8" t="s">
        <v>100</v>
      </c>
      <c r="Z8">
        <v>33.677999999999997</v>
      </c>
    </row>
    <row r="9" spans="1:26">
      <c r="D9" s="11"/>
      <c r="E9" s="11"/>
      <c r="J9">
        <f>AVERAGE(C15:H18)*6</f>
        <v>273.54307554620618</v>
      </c>
      <c r="O9" s="11"/>
      <c r="P9" s="11"/>
      <c r="U9" s="13">
        <f>AVERAGE(U$15:U$18)</f>
        <v>0.17501760555809703</v>
      </c>
      <c r="V9" s="13">
        <f>AVERAGE(V$15:V$18)</f>
        <v>0.25</v>
      </c>
      <c r="W9" s="14">
        <f>V9-U9</f>
        <v>7.4982394441902966E-2</v>
      </c>
      <c r="X9" s="26">
        <v>0.12</v>
      </c>
    </row>
    <row r="10" spans="1:26">
      <c r="A10" s="5">
        <f>GovPrograms!A9</f>
        <v>38626</v>
      </c>
      <c r="B10">
        <f>VLOOKUP($A10,Fredconnect!$A$8:$J$39,B$6+1)</f>
        <v>101.371</v>
      </c>
      <c r="G10" s="2">
        <f>G$4*otherloans!G9/otherloans!G$7</f>
        <v>1.3575496835114123</v>
      </c>
      <c r="H10" s="2">
        <f>otherloans!F9*$B$36*0.004/Summary!$B10</f>
        <v>26.250263321323651</v>
      </c>
      <c r="L10">
        <v>32.704940000000001</v>
      </c>
      <c r="Z10">
        <v>32.62706</v>
      </c>
    </row>
    <row r="11" spans="1:26">
      <c r="A11" s="5">
        <f>GovPrograms!A10</f>
        <v>38718</v>
      </c>
      <c r="B11">
        <f>VLOOKUP($A11,Fredconnect!$A$8:$J$39,B$6+1)</f>
        <v>101.794</v>
      </c>
      <c r="C11" s="2">
        <f>GovPrograms!O10*$B$36*0.001/Summary!$B11</f>
        <v>87.413383450538333</v>
      </c>
      <c r="D11" s="2">
        <f>GovPrograms!L10*$B$36*0.001/Summary!$B11</f>
        <v>31.636207050002952</v>
      </c>
      <c r="E11" s="2">
        <f>GovPrograms!M10*$B$36*0.001/Summary!$B11</f>
        <v>30.183098190843758</v>
      </c>
      <c r="F11" s="2">
        <f>GovPrograms!U10*$B$36*0.001/Summary!$B11-C11-D11-E11</f>
        <v>83.88020598519617</v>
      </c>
      <c r="G11" s="2">
        <f>G$4*otherloans!G10/otherloans!G$7</f>
        <v>2.0566748083153596</v>
      </c>
      <c r="H11" s="2">
        <f>otherloans!F10*$B$36*0.004/Summary!$B11</f>
        <v>15.30971198547655</v>
      </c>
      <c r="J11">
        <f>SUM(C11:H11)/J$9</f>
        <v>0.91568496468141392</v>
      </c>
      <c r="L11">
        <v>34.239849999999997</v>
      </c>
      <c r="N11" s="6">
        <f t="shared" ref="N11:N30" si="0">C11*1000/(12*$L11)</f>
        <v>212.74767911886863</v>
      </c>
      <c r="O11" s="6">
        <f t="shared" ref="O11:O30" si="1">D11*1000/(12*$L11)</f>
        <v>76.996557739015969</v>
      </c>
      <c r="P11" s="6">
        <f t="shared" ref="P11:P30" si="2">E11*1000/(12*$L11)</f>
        <v>73.459964998979643</v>
      </c>
      <c r="Q11" s="6">
        <f t="shared" ref="Q11:Q30" si="3">F11*1000/(12*$L11)</f>
        <v>204.14859193112744</v>
      </c>
      <c r="R11" s="6">
        <f t="shared" ref="R11:R30" si="4">G11*1000/(12*$L11)</f>
        <v>5.0055583584511414</v>
      </c>
      <c r="S11" s="6">
        <f t="shared" ref="S11:S30" si="5">H11*1000/(12*$L11)</f>
        <v>37.260949803315313</v>
      </c>
      <c r="U11" s="13">
        <f>SUM(N11:S11)/U$3</f>
        <v>0.15692445914205469</v>
      </c>
      <c r="V11" s="13">
        <f>0.25+U11-AVERAGE($U$15:$U$18)</f>
        <v>0.23190685358395763</v>
      </c>
      <c r="X11" s="13">
        <f>V9</f>
        <v>0.25</v>
      </c>
      <c r="Z11">
        <v>33.900570000000002</v>
      </c>
    </row>
    <row r="12" spans="1:26">
      <c r="A12" s="5">
        <f>GovPrograms!A11</f>
        <v>38808</v>
      </c>
      <c r="B12">
        <f>VLOOKUP($A12,Fredconnect!$A$8:$J$39,B$6+1)</f>
        <v>102.548</v>
      </c>
      <c r="C12" s="2">
        <f>GovPrograms!O11*$B$36*0.001/Summary!$B12</f>
        <v>88.428921881643802</v>
      </c>
      <c r="D12" s="2">
        <f>GovPrograms!L11*$B$36*0.001/Summary!$B12</f>
        <v>31.178092401493934</v>
      </c>
      <c r="E12" s="2">
        <f>GovPrograms!M11*$B$36*0.001/Summary!$B12</f>
        <v>29.811911042511795</v>
      </c>
      <c r="F12" s="2">
        <f>GovPrograms!U11*$B$36*0.001/Summary!$B12-C12-D12-E12</f>
        <v>84.074249225845719</v>
      </c>
      <c r="G12" s="2">
        <f>G$4*otherloans!G11/otherloans!G$7</f>
        <v>2.3463045659413249</v>
      </c>
      <c r="H12" s="2">
        <f>otherloans!F11*$B$36*0.004/Summary!$B12</f>
        <v>16.980774516186322</v>
      </c>
      <c r="J12">
        <f t="shared" ref="J12:J31" si="6">SUM(C12:H12)/J$9</f>
        <v>0.92424293003504365</v>
      </c>
      <c r="L12">
        <v>33.506459999999997</v>
      </c>
      <c r="N12" s="6">
        <f t="shared" si="0"/>
        <v>219.93003210337108</v>
      </c>
      <c r="O12" s="6">
        <f t="shared" si="1"/>
        <v>77.542490814940209</v>
      </c>
      <c r="P12" s="6">
        <f t="shared" si="2"/>
        <v>74.144684941629663</v>
      </c>
      <c r="Q12" s="6">
        <f t="shared" si="3"/>
        <v>209.09960155406284</v>
      </c>
      <c r="R12" s="6">
        <f t="shared" si="4"/>
        <v>5.8354532378266883</v>
      </c>
      <c r="S12" s="6">
        <f t="shared" si="5"/>
        <v>42.232588671424175</v>
      </c>
      <c r="U12" s="13">
        <f t="shared" ref="U12:U30" si="7">SUM(N12:S12)/U$3</f>
        <v>0.16185793723235989</v>
      </c>
      <c r="V12" s="13">
        <f t="shared" ref="V12:V30" si="8">0.25+U12-AVERAGE($U$15:$U$18)</f>
        <v>0.23684033167426283</v>
      </c>
      <c r="X12" s="13">
        <f t="shared" ref="X12:X18" si="9">X11</f>
        <v>0.25</v>
      </c>
      <c r="Z12">
        <v>33.3386</v>
      </c>
    </row>
    <row r="13" spans="1:26">
      <c r="A13" s="5">
        <f>GovPrograms!A12</f>
        <v>38899</v>
      </c>
      <c r="B13">
        <f>VLOOKUP($A13,Fredconnect!$A$8:$J$39,B$6+1)</f>
        <v>103.286</v>
      </c>
      <c r="C13" s="2">
        <f>GovPrograms!O12*$B$36*0.001/Summary!$B13</f>
        <v>91.323575623811664</v>
      </c>
      <c r="D13" s="2">
        <f>GovPrograms!L12*$B$36*0.001/Summary!$B13</f>
        <v>31.96698434399628</v>
      </c>
      <c r="E13" s="2">
        <f>GovPrograms!M12*$B$36*0.001/Summary!$B13</f>
        <v>29.074209179450744</v>
      </c>
      <c r="F13" s="2">
        <f>GovPrograms!U12*$B$36*0.001/Summary!$B13-C13-D13-E13</f>
        <v>83.715662162888236</v>
      </c>
      <c r="G13" s="2">
        <f>G$4*otherloans!G12/otherloans!G$7</f>
        <v>2.8623872961551395</v>
      </c>
      <c r="H13" s="2">
        <f>otherloans!F12*$B$36*0.004/Summary!$B13</f>
        <v>19.537217882136737</v>
      </c>
      <c r="J13">
        <f t="shared" si="6"/>
        <v>0.94493357571676884</v>
      </c>
      <c r="L13">
        <v>32.797170000000001</v>
      </c>
      <c r="N13" s="6">
        <f t="shared" si="0"/>
        <v>232.04130016861123</v>
      </c>
      <c r="O13" s="6">
        <f t="shared" si="1"/>
        <v>81.223939809431414</v>
      </c>
      <c r="P13" s="6">
        <f t="shared" si="2"/>
        <v>73.873775235919084</v>
      </c>
      <c r="Q13" s="6">
        <f t="shared" si="3"/>
        <v>212.71058387783719</v>
      </c>
      <c r="R13" s="6">
        <f t="shared" si="4"/>
        <v>7.2729529614779249</v>
      </c>
      <c r="S13" s="6">
        <f t="shared" si="5"/>
        <v>49.641523649085009</v>
      </c>
      <c r="U13" s="13">
        <f t="shared" si="7"/>
        <v>0.16906017744828314</v>
      </c>
      <c r="V13" s="13">
        <f t="shared" si="8"/>
        <v>0.24404257189018613</v>
      </c>
      <c r="X13" s="13">
        <f t="shared" si="9"/>
        <v>0.25</v>
      </c>
      <c r="Z13">
        <v>33.244459999999997</v>
      </c>
    </row>
    <row r="14" spans="1:26">
      <c r="A14" s="5">
        <f>GovPrograms!A13</f>
        <v>38991</v>
      </c>
      <c r="B14">
        <f>VLOOKUP($A14,Fredconnect!$A$8:$J$39,B$6+1)</f>
        <v>103.264</v>
      </c>
      <c r="C14" s="2">
        <f>GovPrograms!O13*$B$36*0.001/Summary!$B14</f>
        <v>89.464917470896523</v>
      </c>
      <c r="D14" s="2">
        <f>GovPrograms!L13*$B$36*0.001/Summary!$B14</f>
        <v>31.812059638939033</v>
      </c>
      <c r="E14" s="2">
        <f>GovPrograms!M13*$B$36*0.001/Summary!$B14</f>
        <v>29.300739763639804</v>
      </c>
      <c r="F14" s="2">
        <f>GovPrograms!U13*$B$36*0.001/Summary!$B14-C14-D14-E14</f>
        <v>84.347209284067247</v>
      </c>
      <c r="G14" s="2">
        <f>G$4*otherloans!G13/otherloans!G$7</f>
        <v>3.1433366737536912</v>
      </c>
      <c r="H14" s="2">
        <f>otherloans!F13*$B$36*0.004/Summary!$B14</f>
        <v>19.891746516797966</v>
      </c>
      <c r="J14">
        <f t="shared" si="6"/>
        <v>0.9430324961909714</v>
      </c>
      <c r="L14">
        <v>32.791600000000003</v>
      </c>
      <c r="N14" s="6">
        <f t="shared" si="0"/>
        <v>227.35730459146174</v>
      </c>
      <c r="O14" s="6">
        <f t="shared" si="1"/>
        <v>80.844026211334182</v>
      </c>
      <c r="P14" s="6">
        <f t="shared" si="2"/>
        <v>74.462005929465178</v>
      </c>
      <c r="Q14" s="6">
        <f t="shared" si="3"/>
        <v>214.35166649402905</v>
      </c>
      <c r="R14" s="6">
        <f t="shared" si="4"/>
        <v>7.9881653476136441</v>
      </c>
      <c r="S14" s="6">
        <f t="shared" si="5"/>
        <v>50.550919841254981</v>
      </c>
      <c r="U14" s="13">
        <f t="shared" si="7"/>
        <v>0.16874870994716268</v>
      </c>
      <c r="V14" s="13">
        <f t="shared" si="8"/>
        <v>0.24373110438906564</v>
      </c>
      <c r="X14" s="13">
        <f t="shared" si="9"/>
        <v>0.25</v>
      </c>
      <c r="Z14">
        <v>32.82349</v>
      </c>
    </row>
    <row r="15" spans="1:26">
      <c r="A15" s="5">
        <f>GovPrograms!A14</f>
        <v>39083</v>
      </c>
      <c r="B15">
        <f>VLOOKUP($A15,Fredconnect!$A$8:$J$39,B$6+1)</f>
        <v>104.267</v>
      </c>
      <c r="C15" s="2">
        <f>GovPrograms!O14*$B$36*0.001/Summary!$B15</f>
        <v>97.508565310342476</v>
      </c>
      <c r="D15" s="2">
        <f>GovPrograms!L14*$B$36*0.001/Summary!$B15</f>
        <v>32.573904647485783</v>
      </c>
      <c r="E15" s="2">
        <f>GovPrograms!M14*$B$36*0.001/Summary!$B15</f>
        <v>30.209154294527512</v>
      </c>
      <c r="F15" s="2">
        <f>GovPrograms!U14*$B$36*0.001/Summary!$B15-C15-D15-E15</f>
        <v>85.044079070525555</v>
      </c>
      <c r="G15" s="2">
        <f>G$4*otherloans!G14/otherloans!G$7</f>
        <v>3.8424328257003117</v>
      </c>
      <c r="H15" s="2">
        <f>otherloans!F14*$B$36*0.004/Summary!$B15</f>
        <v>21.073649280852525</v>
      </c>
      <c r="J15">
        <f t="shared" si="6"/>
        <v>0.98796792750026652</v>
      </c>
      <c r="L15">
        <v>33.963729999999998</v>
      </c>
      <c r="N15" s="6">
        <f t="shared" si="0"/>
        <v>239.24680168703122</v>
      </c>
      <c r="O15" s="6">
        <f t="shared" si="1"/>
        <v>79.923260900883051</v>
      </c>
      <c r="P15" s="6">
        <f t="shared" si="2"/>
        <v>74.121114628574645</v>
      </c>
      <c r="Q15" s="6">
        <f t="shared" si="3"/>
        <v>208.66396562481395</v>
      </c>
      <c r="R15" s="6">
        <f t="shared" si="4"/>
        <v>9.4277847419887628</v>
      </c>
      <c r="S15" s="6">
        <f t="shared" si="5"/>
        <v>51.706259591365374</v>
      </c>
      <c r="U15" s="13">
        <f t="shared" si="7"/>
        <v>0.17068834882282552</v>
      </c>
      <c r="V15" s="13">
        <f t="shared" si="8"/>
        <v>0.24567074326472849</v>
      </c>
      <c r="X15" s="13">
        <f t="shared" si="9"/>
        <v>0.25</v>
      </c>
      <c r="Z15">
        <v>33.597279999999998</v>
      </c>
    </row>
    <row r="16" spans="1:26">
      <c r="A16" s="5">
        <f>GovPrograms!A15</f>
        <v>39173</v>
      </c>
      <c r="B16">
        <f>VLOOKUP($A16,Fredconnect!$A$8:$J$39,B$6+1)</f>
        <v>105.158</v>
      </c>
      <c r="C16" s="2">
        <f>GovPrograms!O15*$B$36*0.001/Summary!$B16</f>
        <v>91.386022808446754</v>
      </c>
      <c r="D16" s="2">
        <f>GovPrograms!L15*$B$36*0.001/Summary!$B16</f>
        <v>31.524158232121188</v>
      </c>
      <c r="E16" s="2">
        <f>GovPrograms!M15*$B$36*0.001/Summary!$B16</f>
        <v>29.89811772285513</v>
      </c>
      <c r="F16" s="2">
        <f>GovPrograms!U15*$B$36*0.001/Summary!$B16-C16-D16-E16</f>
        <v>85.365406316583872</v>
      </c>
      <c r="G16" s="2">
        <f>G$4*otherloans!G15/otherloans!G$7</f>
        <v>4.9693386897926191</v>
      </c>
      <c r="H16" s="2">
        <f>otherloans!F15*$B$36*0.004/Summary!$B16</f>
        <v>21.310282490907969</v>
      </c>
      <c r="J16">
        <f t="shared" si="6"/>
        <v>0.96677031846867845</v>
      </c>
      <c r="L16">
        <v>33.160710000000002</v>
      </c>
      <c r="N16" s="6">
        <f t="shared" si="0"/>
        <v>229.65436809718173</v>
      </c>
      <c r="O16" s="6">
        <f t="shared" si="1"/>
        <v>79.220655589403805</v>
      </c>
      <c r="P16" s="6">
        <f t="shared" si="2"/>
        <v>75.134392787064186</v>
      </c>
      <c r="Q16" s="6">
        <f t="shared" si="3"/>
        <v>214.52447368332349</v>
      </c>
      <c r="R16" s="6">
        <f t="shared" si="4"/>
        <v>12.488018425501693</v>
      </c>
      <c r="S16" s="6">
        <f t="shared" si="5"/>
        <v>53.553041362574277</v>
      </c>
      <c r="U16" s="13">
        <f t="shared" si="7"/>
        <v>0.17107080475624414</v>
      </c>
      <c r="V16" s="13">
        <f t="shared" si="8"/>
        <v>0.24605319919814711</v>
      </c>
      <c r="X16" s="13">
        <f t="shared" si="9"/>
        <v>0.25</v>
      </c>
      <c r="Z16">
        <v>33.515630000000002</v>
      </c>
    </row>
    <row r="17" spans="1:26">
      <c r="A17" s="5">
        <f>GovPrograms!A16</f>
        <v>39264</v>
      </c>
      <c r="B17">
        <f>VLOOKUP($A17,Fredconnect!$A$8:$J$39,B$6+1)</f>
        <v>105.739</v>
      </c>
      <c r="C17" s="2">
        <f>GovPrograms!O16*$B$36*0.001/Summary!$B17</f>
        <v>92.335684637343419</v>
      </c>
      <c r="D17" s="2">
        <f>GovPrograms!L16*$B$36*0.001/Summary!$B17</f>
        <v>33.614885977926782</v>
      </c>
      <c r="E17" s="2">
        <f>GovPrograms!M16*$B$36*0.001/Summary!$B17</f>
        <v>29.636029013360723</v>
      </c>
      <c r="F17" s="2">
        <f>GovPrograms!U16*$B$36*0.001/Summary!$B17-C17-D17-E17</f>
        <v>86.168216879704417</v>
      </c>
      <c r="G17" s="2">
        <f>G$4*otherloans!G16/otherloans!G$7</f>
        <v>7.1760237561050308</v>
      </c>
      <c r="H17" s="2">
        <f>otherloans!F16*$B$36*0.004/Summary!$B17</f>
        <v>24.025263792346479</v>
      </c>
      <c r="J17">
        <f t="shared" si="6"/>
        <v>0.99785418991781349</v>
      </c>
      <c r="L17">
        <v>33.957009999999997</v>
      </c>
      <c r="N17" s="6">
        <f t="shared" si="0"/>
        <v>226.59946757518657</v>
      </c>
      <c r="O17" s="6">
        <f t="shared" si="1"/>
        <v>82.493732462327074</v>
      </c>
      <c r="P17" s="6">
        <f t="shared" si="2"/>
        <v>72.729285777715035</v>
      </c>
      <c r="Q17" s="6">
        <f t="shared" si="3"/>
        <v>211.46398755294911</v>
      </c>
      <c r="R17" s="6">
        <f t="shared" si="4"/>
        <v>17.610560519769535</v>
      </c>
      <c r="S17" s="6">
        <f t="shared" si="5"/>
        <v>58.9600001893239</v>
      </c>
      <c r="U17" s="13">
        <f t="shared" si="7"/>
        <v>0.1724304864345321</v>
      </c>
      <c r="V17" s="13">
        <f t="shared" si="8"/>
        <v>0.24741288087643504</v>
      </c>
      <c r="X17" s="13">
        <f t="shared" si="9"/>
        <v>0.25</v>
      </c>
      <c r="Z17">
        <v>33.884010000000004</v>
      </c>
    </row>
    <row r="18" spans="1:26">
      <c r="A18" s="5">
        <f>GovPrograms!A17</f>
        <v>39356</v>
      </c>
      <c r="B18">
        <f>VLOOKUP($A18,Fredconnect!$A$8:$J$39,B$6+1)</f>
        <v>106.833</v>
      </c>
      <c r="C18" s="2">
        <f>GovPrograms!O17*$B$36*0.001/Summary!$B18</f>
        <v>95.124095701256124</v>
      </c>
      <c r="D18" s="2">
        <f>GovPrograms!L17*$B$36*0.001/Summary!$B18</f>
        <v>35.142635774580882</v>
      </c>
      <c r="E18" s="2">
        <f>GovPrograms!M17*$B$36*0.001/Summary!$B18</f>
        <v>31.485537374020666</v>
      </c>
      <c r="F18" s="2">
        <f>GovPrograms!U17*$B$36*0.001/Summary!$B18-C18-D18-E18</f>
        <v>86.68106543225116</v>
      </c>
      <c r="G18" s="2">
        <f>G$4*otherloans!G17/otherloans!G$7</f>
        <v>12.140596900746671</v>
      </c>
      <c r="H18" s="2">
        <f>otherloans!F17*$B$36*0.004/Summary!$B18</f>
        <v>25.93715525504081</v>
      </c>
      <c r="J18">
        <f t="shared" si="6"/>
        <v>1.0474075641132419</v>
      </c>
      <c r="L18">
        <v>33.064169999999997</v>
      </c>
      <c r="N18" s="6">
        <f t="shared" si="0"/>
        <v>239.74616556546491</v>
      </c>
      <c r="O18" s="6">
        <f t="shared" si="1"/>
        <v>88.571797846886014</v>
      </c>
      <c r="P18" s="6">
        <f t="shared" si="2"/>
        <v>79.35462408910881</v>
      </c>
      <c r="Q18" s="6">
        <f t="shared" si="3"/>
        <v>218.46676082763497</v>
      </c>
      <c r="R18" s="6">
        <f t="shared" si="4"/>
        <v>30.598572666289698</v>
      </c>
      <c r="S18" s="6">
        <f t="shared" si="5"/>
        <v>65.370750410088448</v>
      </c>
      <c r="U18" s="13">
        <f t="shared" si="7"/>
        <v>0.18588078221878632</v>
      </c>
      <c r="V18" s="13">
        <f t="shared" si="8"/>
        <v>0.26086317666068931</v>
      </c>
      <c r="X18" s="13">
        <f t="shared" si="9"/>
        <v>0.25</v>
      </c>
      <c r="Z18">
        <v>33.154589999999999</v>
      </c>
    </row>
    <row r="19" spans="1:26">
      <c r="A19" s="5">
        <f>GovPrograms!A18</f>
        <v>39448</v>
      </c>
      <c r="B19">
        <f>VLOOKUP($A19,Fredconnect!$A$8:$J$39,B$6+1)</f>
        <v>107.852</v>
      </c>
      <c r="C19" s="2">
        <f>GovPrograms!O18*$B$36*0.001/Summary!$B19</f>
        <v>94.100395373190239</v>
      </c>
      <c r="D19" s="2">
        <f>GovPrograms!L18*$B$36*0.001/Summary!$B19</f>
        <v>36.478272416031231</v>
      </c>
      <c r="E19" s="2">
        <f>GovPrograms!M18*$B$36*0.001/Summary!$B19</f>
        <v>31.932183191143878</v>
      </c>
      <c r="F19" s="2">
        <f>GovPrograms!U18*$B$36*0.001/Summary!$B19-C19-D19-E19</f>
        <v>86.974946042835583</v>
      </c>
      <c r="G19" s="2">
        <f>mortmetrics!G6*$B$36*0.000000004/Summary!$B19</f>
        <v>28.53998655932708</v>
      </c>
      <c r="H19" s="2">
        <f>otherloans!F18*$B$36*0.004/Summary!$B19</f>
        <v>29.006845479417393</v>
      </c>
      <c r="J19">
        <f t="shared" si="6"/>
        <v>1.1224288110706799</v>
      </c>
      <c r="L19">
        <v>34.901539999999997</v>
      </c>
      <c r="N19" s="6">
        <f t="shared" si="0"/>
        <v>224.6806190910923</v>
      </c>
      <c r="O19" s="6">
        <f t="shared" si="1"/>
        <v>87.098048815876581</v>
      </c>
      <c r="P19" s="6">
        <f t="shared" si="2"/>
        <v>76.243491431285179</v>
      </c>
      <c r="Q19" s="6">
        <f t="shared" si="3"/>
        <v>207.6674029351226</v>
      </c>
      <c r="R19" s="6">
        <f t="shared" si="4"/>
        <v>68.144047892363972</v>
      </c>
      <c r="S19" s="6">
        <f t="shared" si="5"/>
        <v>69.25875257323267</v>
      </c>
      <c r="U19" s="13">
        <f t="shared" si="7"/>
        <v>0.188708136628957</v>
      </c>
      <c r="V19" s="13">
        <f t="shared" si="8"/>
        <v>0.26369053107085999</v>
      </c>
      <c r="X19" s="13">
        <f t="shared" ref="X19:X26" si="10">($A19-$A$18)*X$9/($A$26-$A$18)+X$18</f>
        <v>0.26510259917920659</v>
      </c>
      <c r="Z19">
        <v>34.158299999999997</v>
      </c>
    </row>
    <row r="20" spans="1:26">
      <c r="A20" s="5">
        <f>GovPrograms!A19</f>
        <v>39539</v>
      </c>
      <c r="B20">
        <f>VLOOKUP($A20,Fredconnect!$A$8:$J$39,B$6+1)</f>
        <v>109.05200000000001</v>
      </c>
      <c r="C20" s="2">
        <f>GovPrograms!O19*$B$36*0.001/Summary!$B20</f>
        <v>95.051193483490366</v>
      </c>
      <c r="D20" s="2">
        <f>GovPrograms!L19*$B$36*0.001/Summary!$B20</f>
        <v>37.125363280082894</v>
      </c>
      <c r="E20" s="2">
        <f>GovPrograms!M19*$B$36*0.001/Summary!$B20</f>
        <v>32.476067479424948</v>
      </c>
      <c r="F20" s="2">
        <f>GovPrograms!U19*$B$36*0.001/Summary!$B20-C20-D20-E20</f>
        <v>88.012432626125218</v>
      </c>
      <c r="G20" s="2">
        <f>mortmetrics!G7*$B$36*0.000000004/Summary!$B20</f>
        <v>35.174713799874255</v>
      </c>
      <c r="H20" s="2">
        <f>otherloans!F19*$B$36*0.004/Summary!$B20</f>
        <v>32.672538773481918</v>
      </c>
      <c r="J20">
        <f t="shared" si="6"/>
        <v>1.1717069013810202</v>
      </c>
      <c r="L20">
        <v>34.079090000000001</v>
      </c>
      <c r="N20" s="6">
        <f t="shared" si="0"/>
        <v>232.42794306687369</v>
      </c>
      <c r="O20" s="6">
        <f t="shared" si="1"/>
        <v>90.782361657551334</v>
      </c>
      <c r="P20" s="6">
        <f t="shared" si="2"/>
        <v>79.413474849790475</v>
      </c>
      <c r="Q20" s="6">
        <f t="shared" si="3"/>
        <v>215.21611596760462</v>
      </c>
      <c r="R20" s="6">
        <f t="shared" si="4"/>
        <v>86.012453677299519</v>
      </c>
      <c r="S20" s="6">
        <f t="shared" si="5"/>
        <v>79.893904574823651</v>
      </c>
      <c r="U20" s="13">
        <f t="shared" si="7"/>
        <v>0.20174715037379551</v>
      </c>
      <c r="V20" s="13">
        <f t="shared" si="8"/>
        <v>0.2767295448156985</v>
      </c>
      <c r="X20" s="13">
        <f t="shared" si="10"/>
        <v>0.28004103967168265</v>
      </c>
      <c r="Z20">
        <v>34.168950000000002</v>
      </c>
    </row>
    <row r="21" spans="1:26">
      <c r="A21" s="5">
        <f>GovPrograms!A20</f>
        <v>39630</v>
      </c>
      <c r="B21">
        <f>VLOOKUP($A21,Fredconnect!$A$8:$J$39,B$6+1)</f>
        <v>110.218</v>
      </c>
      <c r="C21" s="2">
        <f>GovPrograms!O20*$B$36*0.001/Summary!$B21</f>
        <v>94.741487595855588</v>
      </c>
      <c r="D21" s="2">
        <f>GovPrograms!L20*$B$36*0.001/Summary!$B21</f>
        <v>56.318936152107632</v>
      </c>
      <c r="E21" s="2">
        <f>GovPrograms!M20*$B$36*0.001/Summary!$B21</f>
        <v>34.74108620016694</v>
      </c>
      <c r="F21" s="2">
        <f>GovPrograms!U20*$B$36*0.001/Summary!$B21-C21-D21-E21</f>
        <v>88.800092156706597</v>
      </c>
      <c r="G21" s="2">
        <f>mortmetrics!G8*$B$36*0.000000004/Summary!$B21</f>
        <v>36.950366923065445</v>
      </c>
      <c r="H21" s="2">
        <f>otherloans!F20*$B$36*0.004/Summary!$B21</f>
        <v>35.482453187163621</v>
      </c>
      <c r="J21">
        <f t="shared" si="6"/>
        <v>1.2686646208174464</v>
      </c>
      <c r="L21">
        <v>34.673430000000003</v>
      </c>
      <c r="N21" s="6">
        <f t="shared" si="0"/>
        <v>227.69953726300795</v>
      </c>
      <c r="O21" s="6">
        <f t="shared" si="1"/>
        <v>135.35565069109984</v>
      </c>
      <c r="P21" s="6">
        <f t="shared" si="2"/>
        <v>83.495936706595728</v>
      </c>
      <c r="Q21" s="6">
        <f t="shared" si="3"/>
        <v>213.42012254702084</v>
      </c>
      <c r="R21" s="6">
        <f t="shared" si="4"/>
        <v>88.805671766213692</v>
      </c>
      <c r="S21" s="6">
        <f t="shared" si="5"/>
        <v>85.27772126756139</v>
      </c>
      <c r="U21" s="13">
        <f t="shared" si="7"/>
        <v>0.21469722644314351</v>
      </c>
      <c r="V21" s="13">
        <f t="shared" si="8"/>
        <v>0.28967962088504645</v>
      </c>
      <c r="X21" s="13">
        <f t="shared" si="10"/>
        <v>0.2949794801641587</v>
      </c>
      <c r="Z21">
        <v>34.134239999999998</v>
      </c>
    </row>
    <row r="22" spans="1:26">
      <c r="A22" s="5">
        <f>GovPrograms!A21</f>
        <v>39722</v>
      </c>
      <c r="B22">
        <f>VLOOKUP($A22,Fredconnect!$A$8:$J$39,B$6+1)</f>
        <v>108.65</v>
      </c>
      <c r="C22" s="2">
        <f>GovPrograms!O21*$B$36*0.001/Summary!$B22</f>
        <v>96.475239084455509</v>
      </c>
      <c r="D22" s="2">
        <f>GovPrograms!L21*$B$36*0.001/Summary!$B22</f>
        <v>70.150411143352031</v>
      </c>
      <c r="E22" s="2">
        <f>GovPrograms!M21*$B$36*0.001/Summary!$B22</f>
        <v>41.471569818637818</v>
      </c>
      <c r="F22" s="2">
        <f>GovPrograms!U21*$B$36*0.001/Summary!$B22-C22-D22-E22</f>
        <v>91.211566234544989</v>
      </c>
      <c r="G22" s="2">
        <f>mortmetrics!G9*$B$36*0.000000004/Summary!$B22</f>
        <v>42.036970808973408</v>
      </c>
      <c r="H22" s="2">
        <f>otherloans!F21*$B$36*0.004/Summary!$B22</f>
        <v>41.869629962075706</v>
      </c>
      <c r="J22">
        <f t="shared" si="6"/>
        <v>1.4009325086619044</v>
      </c>
      <c r="L22">
        <v>36.331710000000001</v>
      </c>
      <c r="N22" s="6">
        <f t="shared" si="0"/>
        <v>221.28337083605365</v>
      </c>
      <c r="O22" s="6">
        <f t="shared" si="1"/>
        <v>160.90262735443324</v>
      </c>
      <c r="P22" s="6">
        <f t="shared" si="2"/>
        <v>95.122529370435657</v>
      </c>
      <c r="Q22" s="6">
        <f t="shared" si="3"/>
        <v>209.21018726833253</v>
      </c>
      <c r="R22" s="6">
        <f t="shared" si="4"/>
        <v>96.41937857446797</v>
      </c>
      <c r="S22" s="6">
        <f t="shared" si="5"/>
        <v>96.035552143650136</v>
      </c>
      <c r="U22" s="13">
        <f t="shared" si="7"/>
        <v>0.22626000109656855</v>
      </c>
      <c r="V22" s="13">
        <f t="shared" si="8"/>
        <v>0.30124239553847149</v>
      </c>
      <c r="X22" s="13">
        <f t="shared" si="10"/>
        <v>0.31008207934336524</v>
      </c>
      <c r="Z22">
        <v>34.867600000000003</v>
      </c>
    </row>
    <row r="23" spans="1:26">
      <c r="A23" s="5">
        <f>GovPrograms!A22</f>
        <v>39814</v>
      </c>
      <c r="B23">
        <f>VLOOKUP($A23,Fredconnect!$A$8:$J$39,B$6+1)</f>
        <v>108.194</v>
      </c>
      <c r="C23" s="2">
        <f>GovPrograms!O22*$B$36*0.001/Summary!$B23</f>
        <v>102.49045801081348</v>
      </c>
      <c r="D23" s="2">
        <f>GovPrograms!L22*$B$36*0.001/Summary!$B23</f>
        <v>100.02091279828825</v>
      </c>
      <c r="E23" s="2">
        <f>GovPrograms!M22*$B$36*0.001/Summary!$B23</f>
        <v>42.430190513117637</v>
      </c>
      <c r="F23" s="2">
        <f>GovPrograms!U22*$B$36*0.001/Summary!$B23-C23-D23-E23</f>
        <v>93.98309419827693</v>
      </c>
      <c r="G23" s="2">
        <f>mortmetrics!G10*$B$36*0.000000004/Summary!$B23</f>
        <v>50.315631232636932</v>
      </c>
      <c r="H23" s="2">
        <f>otherloans!F22*$B$36*0.004/Summary!$B23</f>
        <v>48.627546076638254</v>
      </c>
      <c r="J23">
        <f t="shared" si="6"/>
        <v>1.6007271686751507</v>
      </c>
      <c r="L23">
        <v>40.00067</v>
      </c>
      <c r="N23" s="6">
        <f t="shared" si="0"/>
        <v>213.51821109249229</v>
      </c>
      <c r="O23" s="6">
        <f t="shared" si="1"/>
        <v>208.37341140845942</v>
      </c>
      <c r="P23" s="6">
        <f t="shared" si="2"/>
        <v>88.394749623605549</v>
      </c>
      <c r="Q23" s="6">
        <f t="shared" si="3"/>
        <v>195.79483334961833</v>
      </c>
      <c r="R23" s="6">
        <f t="shared" si="4"/>
        <v>104.82247595818797</v>
      </c>
      <c r="S23" s="6">
        <f t="shared" si="5"/>
        <v>101.30569078934231</v>
      </c>
      <c r="U23" s="13">
        <f t="shared" si="7"/>
        <v>0.23481533787130976</v>
      </c>
      <c r="V23" s="13">
        <f t="shared" si="8"/>
        <v>0.30979773231321273</v>
      </c>
      <c r="X23" s="13">
        <f t="shared" si="10"/>
        <v>0.32518467852257182</v>
      </c>
      <c r="Z23">
        <v>37.81118</v>
      </c>
    </row>
    <row r="24" spans="1:26">
      <c r="A24" s="5">
        <f>GovPrograms!A23</f>
        <v>39904</v>
      </c>
      <c r="B24">
        <f>VLOOKUP($A24,Fredconnect!$A$8:$J$39,B$6+1)</f>
        <v>108.703</v>
      </c>
      <c r="C24" s="2">
        <f>GovPrograms!O23*$B$36*0.001/Summary!$B24</f>
        <v>105.18097871717022</v>
      </c>
      <c r="D24" s="2">
        <f>GovPrograms!L23*$B$36*0.001/Summary!$B24</f>
        <v>125.99092323440384</v>
      </c>
      <c r="E24" s="2">
        <f>GovPrograms!M23*$B$36*0.001/Summary!$B24</f>
        <v>52.335563749574533</v>
      </c>
      <c r="F24" s="2">
        <f>GovPrograms!U23*$B$36*0.001/Summary!$B24-C24-D24-E24</f>
        <v>95.021628510062101</v>
      </c>
      <c r="G24" s="2">
        <f>mortmetrics!G11*$B$36*0.000000004/Summary!$B24</f>
        <v>56.832388167610738</v>
      </c>
      <c r="H24" s="2">
        <f>otherloans!F23*$B$36*0.004/Summary!$B24</f>
        <v>56.308641706714624</v>
      </c>
      <c r="J24">
        <f t="shared" si="6"/>
        <v>1.7974138921403056</v>
      </c>
      <c r="L24">
        <v>40.733280000000001</v>
      </c>
      <c r="N24" s="6">
        <f t="shared" si="0"/>
        <v>215.18231676320161</v>
      </c>
      <c r="O24" s="6">
        <f t="shared" si="1"/>
        <v>257.75590875242523</v>
      </c>
      <c r="P24" s="6">
        <f t="shared" si="2"/>
        <v>107.069624128752</v>
      </c>
      <c r="Q24" s="6">
        <f t="shared" si="3"/>
        <v>194.39802153190647</v>
      </c>
      <c r="R24" s="6">
        <f t="shared" si="4"/>
        <v>116.26935879705478</v>
      </c>
      <c r="S24" s="6">
        <f t="shared" si="5"/>
        <v>115.19786299784563</v>
      </c>
      <c r="U24" s="13">
        <f t="shared" si="7"/>
        <v>0.25892567800134708</v>
      </c>
      <c r="V24" s="13">
        <f t="shared" si="8"/>
        <v>0.3339080724432501</v>
      </c>
      <c r="X24" s="13">
        <f t="shared" si="10"/>
        <v>0.33995896032831735</v>
      </c>
      <c r="Z24">
        <v>37.854170000000003</v>
      </c>
    </row>
    <row r="25" spans="1:26">
      <c r="A25" s="5">
        <f>GovPrograms!A24</f>
        <v>39995</v>
      </c>
      <c r="B25">
        <f>VLOOKUP($A25,Fredconnect!$A$8:$J$39,B$6+1)</f>
        <v>109.51300000000001</v>
      </c>
      <c r="C25" s="2">
        <f>GovPrograms!O24*$B$36*0.001/Summary!$B25</f>
        <v>107.14614018734268</v>
      </c>
      <c r="D25" s="2">
        <f>GovPrograms!L24*$B$36*0.001/Summary!$B25</f>
        <v>141.52581222230054</v>
      </c>
      <c r="E25" s="2">
        <f>GovPrograms!M24*$B$36*0.001/Summary!$B25</f>
        <v>54.955376700528696</v>
      </c>
      <c r="F25" s="2">
        <f>GovPrograms!U24*$B$36*0.001/Summary!$B25-C25-D25-E25</f>
        <v>95.553999538244284</v>
      </c>
      <c r="G25" s="2">
        <f>mortmetrics!G12*$B$36*0.000000004/Summary!$B25</f>
        <v>92.627313695347723</v>
      </c>
      <c r="H25" s="2">
        <f>otherloans!F24*$B$36*0.004/Summary!$B25</f>
        <v>55.902215849001479</v>
      </c>
      <c r="J25">
        <f t="shared" si="6"/>
        <v>2.0022837613385227</v>
      </c>
      <c r="L25">
        <v>43.098649999999999</v>
      </c>
      <c r="N25" s="6">
        <f t="shared" si="0"/>
        <v>207.17226677893368</v>
      </c>
      <c r="O25" s="6">
        <f t="shared" si="1"/>
        <v>273.64703268412609</v>
      </c>
      <c r="P25" s="6">
        <f t="shared" si="2"/>
        <v>106.25889036069709</v>
      </c>
      <c r="Q25" s="6">
        <f t="shared" si="3"/>
        <v>184.75829973453207</v>
      </c>
      <c r="R25" s="6">
        <f t="shared" si="4"/>
        <v>179.09941049071475</v>
      </c>
      <c r="S25" s="6">
        <f t="shared" si="5"/>
        <v>108.08964984789058</v>
      </c>
      <c r="U25" s="13">
        <f t="shared" si="7"/>
        <v>0.27260785723757075</v>
      </c>
      <c r="V25" s="13">
        <f t="shared" si="8"/>
        <v>0.34759025167947372</v>
      </c>
      <c r="X25" s="13">
        <f t="shared" si="10"/>
        <v>0.35489740082079341</v>
      </c>
      <c r="Z25">
        <v>38.31297</v>
      </c>
    </row>
    <row r="26" spans="1:26">
      <c r="A26" s="5">
        <f>GovPrograms!A25</f>
        <v>40087</v>
      </c>
      <c r="B26">
        <f>VLOOKUP($A26,Fredconnect!$A$8:$J$39,B$6+1)</f>
        <v>110.265</v>
      </c>
      <c r="C26" s="2">
        <f>GovPrograms!O25*$B$36*0.001/Summary!$B26</f>
        <v>105.00542724735762</v>
      </c>
      <c r="D26" s="2">
        <f>GovPrograms!L25*$B$36*0.001/Summary!$B26</f>
        <v>144.35503756278601</v>
      </c>
      <c r="E26" s="2">
        <f>GovPrograms!M25*$B$36*0.001/Summary!$B26</f>
        <v>57.649523235818243</v>
      </c>
      <c r="F26" s="2">
        <f>GovPrograms!U25*$B$36*0.001/Summary!$B26-C26-D26-E26</f>
        <v>95.832804231905698</v>
      </c>
      <c r="G26" s="2">
        <f>mortmetrics!G13*$B$36*0.000000004/Summary!$B26</f>
        <v>82.932482549211727</v>
      </c>
      <c r="H26" s="2">
        <f>otherloans!F25*$B$36*0.004/Summary!$B26</f>
        <v>54.071098860087062</v>
      </c>
      <c r="J26">
        <f t="shared" si="6"/>
        <v>1.9735333186892423</v>
      </c>
      <c r="L26">
        <v>41.946570000000001</v>
      </c>
      <c r="N26" s="6">
        <f t="shared" si="0"/>
        <v>208.609482744671</v>
      </c>
      <c r="O26" s="6">
        <f t="shared" si="1"/>
        <v>286.78355497399434</v>
      </c>
      <c r="P26" s="6">
        <f t="shared" si="2"/>
        <v>114.52967277939976</v>
      </c>
      <c r="Q26" s="6">
        <f t="shared" si="3"/>
        <v>190.38665186034223</v>
      </c>
      <c r="R26" s="6">
        <f t="shared" si="4"/>
        <v>164.7581724187296</v>
      </c>
      <c r="S26" s="6">
        <f t="shared" si="5"/>
        <v>107.42058063406031</v>
      </c>
      <c r="U26" s="13">
        <f t="shared" si="7"/>
        <v>0.27607330822516196</v>
      </c>
      <c r="V26" s="13">
        <f t="shared" si="8"/>
        <v>0.35105570266706493</v>
      </c>
      <c r="X26" s="13">
        <f t="shared" si="10"/>
        <v>0.37</v>
      </c>
      <c r="Z26">
        <v>39.016379999999998</v>
      </c>
    </row>
    <row r="27" spans="1:26">
      <c r="A27" s="5">
        <f>GovPrograms!A26</f>
        <v>40179</v>
      </c>
      <c r="B27">
        <f>VLOOKUP($A27,Fredconnect!$A$8:$J$39,B$6+1)</f>
        <v>110.774</v>
      </c>
      <c r="C27" s="2">
        <f>GovPrograms!O26*$B$36*0.001/Summary!$B27</f>
        <v>106.90302950242859</v>
      </c>
      <c r="D27" s="2">
        <f>GovPrograms!L26*$B$36*0.001/Summary!$B27</f>
        <v>147.63495535241663</v>
      </c>
      <c r="E27" s="2">
        <f>GovPrograms!M26*$B$36*0.001/Summary!$B27</f>
        <v>59.22574520247305</v>
      </c>
      <c r="F27" s="2">
        <f>GovPrograms!U26*$B$36*0.001/Summary!$B27-C27-D27-E27</f>
        <v>95.062175218453532</v>
      </c>
      <c r="G27" s="2">
        <f>mortmetrics!G14*$B$36*0.000000004/Summary!$B27</f>
        <v>85.769341509924729</v>
      </c>
      <c r="H27" s="2">
        <f>otherloans!F26*$B$36*0.004/Summary!$B27</f>
        <v>86.067884177556564</v>
      </c>
      <c r="J27">
        <f t="shared" si="6"/>
        <v>2.1227484183388476</v>
      </c>
      <c r="L27">
        <v>42.63608</v>
      </c>
      <c r="N27" s="6">
        <f t="shared" si="0"/>
        <v>208.94476677661382</v>
      </c>
      <c r="O27" s="6">
        <f t="shared" si="1"/>
        <v>288.55638102833836</v>
      </c>
      <c r="P27" s="6">
        <f t="shared" si="2"/>
        <v>115.75826780681419</v>
      </c>
      <c r="Q27" s="6">
        <f t="shared" si="3"/>
        <v>185.80150742918033</v>
      </c>
      <c r="R27" s="6">
        <f t="shared" si="4"/>
        <v>167.63842092957563</v>
      </c>
      <c r="S27" s="6">
        <f t="shared" si="5"/>
        <v>168.22193038063179</v>
      </c>
      <c r="U27" s="13">
        <f t="shared" si="7"/>
        <v>0.29214446881316797</v>
      </c>
      <c r="V27" s="13">
        <f t="shared" si="8"/>
        <v>0.36712686325507099</v>
      </c>
      <c r="X27" s="13">
        <f>-($A27-$A$26)*X$9/(DATE(2013,10,1)-$A$26)+X$26</f>
        <v>0.36244353182751538</v>
      </c>
      <c r="Z27">
        <v>39.358980000000003</v>
      </c>
    </row>
    <row r="28" spans="1:26">
      <c r="A28" s="5">
        <f>GovPrograms!A27</f>
        <v>40269</v>
      </c>
      <c r="B28">
        <f>VLOOKUP($A28,Fredconnect!$A$8:$J$39,B$6+1)</f>
        <v>110.864</v>
      </c>
      <c r="C28" s="2">
        <f>GovPrograms!O27*$B$36*0.001/Summary!$B28</f>
        <v>107.68705967593807</v>
      </c>
      <c r="D28" s="2">
        <f>GovPrograms!L27*$B$36*0.001/Summary!$B28</f>
        <v>132.67822695099582</v>
      </c>
      <c r="E28" s="2">
        <f>GovPrograms!M27*$B$36*0.001/Summary!$B28</f>
        <v>60.763547745120142</v>
      </c>
      <c r="F28" s="2">
        <f>GovPrograms!U27*$B$36*0.001/Summary!$B28-C28-D28-E28</f>
        <v>95.64522163047863</v>
      </c>
      <c r="G28" s="2">
        <f>mortmetrics!G15*$B$36*0.000000004/Summary!$B28</f>
        <v>80.430342437299416</v>
      </c>
      <c r="H28" s="2">
        <f>otherloans!F27*$B$36*0.004/Summary!$B28</f>
        <v>85.477009682478297</v>
      </c>
      <c r="J28">
        <f t="shared" si="6"/>
        <v>2.0570120702151118</v>
      </c>
      <c r="L28">
        <v>40.211739999999999</v>
      </c>
      <c r="N28" s="6">
        <f t="shared" si="0"/>
        <v>223.1667080226199</v>
      </c>
      <c r="O28" s="6">
        <f t="shared" si="1"/>
        <v>274.95748536579083</v>
      </c>
      <c r="P28" s="6">
        <f t="shared" si="2"/>
        <v>125.92414500740361</v>
      </c>
      <c r="Q28" s="6">
        <f t="shared" si="3"/>
        <v>198.21164505373849</v>
      </c>
      <c r="R28" s="6">
        <f t="shared" si="4"/>
        <v>166.68088812972576</v>
      </c>
      <c r="S28" s="6">
        <f t="shared" si="5"/>
        <v>177.13941600653254</v>
      </c>
      <c r="U28" s="13">
        <f t="shared" si="7"/>
        <v>0.30016523076018992</v>
      </c>
      <c r="V28" s="13">
        <f t="shared" si="8"/>
        <v>0.37514762520209283</v>
      </c>
      <c r="X28" s="13">
        <f>-($A28-$A$26)*X$9/(DATE(2013,10,1)-$A$26)+X$26</f>
        <v>0.35505133470225875</v>
      </c>
      <c r="Z28">
        <v>38.117820000000002</v>
      </c>
    </row>
    <row r="29" spans="1:26">
      <c r="A29" s="5">
        <f>GovPrograms!A28</f>
        <v>40360</v>
      </c>
      <c r="B29">
        <f>VLOOKUP($A29,Fredconnect!$A$8:$J$39,B$6+1)</f>
        <v>111.136</v>
      </c>
      <c r="C29" s="2">
        <f>GovPrograms!O28*$B$36*0.001/Summary!$B29</f>
        <v>111.67652160309996</v>
      </c>
      <c r="D29" s="2">
        <f>GovPrograms!L28*$B$36*0.001/Summary!$B29</f>
        <v>130.85841897948458</v>
      </c>
      <c r="E29" s="2">
        <f>GovPrograms!M28*$B$36*0.001/Summary!$B29</f>
        <v>63.119976934577906</v>
      </c>
      <c r="F29" s="2">
        <f>GovPrograms!U28*$B$36*0.001/Summary!$B29-C29-D29-E29</f>
        <v>96.58185785360736</v>
      </c>
      <c r="G29" s="2">
        <f>mortmetrics!G16*$B$36*0.000000004/Summary!$B29</f>
        <v>67.64027403217834</v>
      </c>
      <c r="H29" s="2">
        <f>otherloans!F28*$B$36*0.004/Summary!$B29</f>
        <v>66.185526287526102</v>
      </c>
      <c r="J29">
        <f t="shared" si="6"/>
        <v>1.9597007696870905</v>
      </c>
      <c r="L29">
        <v>40.572049999999997</v>
      </c>
      <c r="N29" s="6">
        <f t="shared" si="0"/>
        <v>229.37901339119739</v>
      </c>
      <c r="O29" s="6">
        <f t="shared" si="1"/>
        <v>268.77784702252865</v>
      </c>
      <c r="P29" s="6">
        <f t="shared" si="2"/>
        <v>129.64585417501684</v>
      </c>
      <c r="Q29" s="6">
        <f t="shared" si="3"/>
        <v>198.37519066616747</v>
      </c>
      <c r="R29" s="6">
        <f t="shared" si="4"/>
        <v>138.93035975952725</v>
      </c>
      <c r="S29" s="6">
        <f t="shared" si="5"/>
        <v>135.94236731840041</v>
      </c>
      <c r="U29" s="13">
        <f t="shared" si="7"/>
        <v>0.28342569602740003</v>
      </c>
      <c r="V29" s="13">
        <f t="shared" si="8"/>
        <v>0.35840809046930294</v>
      </c>
      <c r="X29" s="13">
        <f>-($A29-$A$26)*X$9/(DATE(2013,10,1)-$A$26)+X$26</f>
        <v>0.3475770020533881</v>
      </c>
      <c r="Z29">
        <v>38.481290000000001</v>
      </c>
    </row>
    <row r="30" spans="1:26">
      <c r="A30" s="5">
        <f>GovPrograms!A29</f>
        <v>40452</v>
      </c>
      <c r="B30">
        <f>VLOOKUP($A30,Fredconnect!$A$8:$J$39,B$6+1)</f>
        <v>111.673</v>
      </c>
      <c r="C30" s="2">
        <f>GovPrograms!O29*$B$36*0.001/Summary!$B30</f>
        <v>120.63590710519242</v>
      </c>
      <c r="D30" s="2">
        <f>GovPrograms!L29*$B$36*0.001/Summary!$B30</f>
        <v>123.38024354452375</v>
      </c>
      <c r="E30" s="2">
        <f>GovPrograms!M29*$B$36*0.001/Summary!$B30</f>
        <v>64.509389199515553</v>
      </c>
      <c r="F30" s="2">
        <f>GovPrograms!U29*$B$36*0.001/Summary!$B30-C30-D30-E30</f>
        <v>96.087537626415283</v>
      </c>
      <c r="G30" s="2">
        <f>mortmetrics!G17*$B$36*0.000000004/Summary!$B30</f>
        <v>67.291982034378776</v>
      </c>
      <c r="H30" s="2">
        <f>otherloans!F29*$B$36*0.004/Summary!$B30</f>
        <v>58.771245055848325</v>
      </c>
      <c r="J30">
        <f t="shared" si="6"/>
        <v>1.9400100094152581</v>
      </c>
      <c r="L30">
        <v>41.771709999999999</v>
      </c>
      <c r="N30" s="6">
        <f t="shared" si="0"/>
        <v>240.66508789719248</v>
      </c>
      <c r="O30" s="6">
        <f t="shared" si="1"/>
        <v>246.13995840830185</v>
      </c>
      <c r="P30" s="6">
        <f t="shared" si="2"/>
        <v>128.69433483314336</v>
      </c>
      <c r="Q30" s="6">
        <f t="shared" si="3"/>
        <v>191.69181252578059</v>
      </c>
      <c r="R30" s="6">
        <f t="shared" si="4"/>
        <v>134.24552572857479</v>
      </c>
      <c r="S30" s="6">
        <f t="shared" si="5"/>
        <v>117.24690597186535</v>
      </c>
      <c r="U30" s="13">
        <f t="shared" si="7"/>
        <v>0.27251984112311128</v>
      </c>
      <c r="V30" s="13">
        <f t="shared" si="8"/>
        <v>0.34750223556501431</v>
      </c>
      <c r="X30" s="13">
        <f>-($A30-$A$26)*X$9/(DATE(2013,10,1)-$A$26)+X$26</f>
        <v>0.34002053388090347</v>
      </c>
      <c r="Z30">
        <v>39.03284</v>
      </c>
    </row>
    <row r="31" spans="1:26">
      <c r="A31" s="5">
        <f>GovPrograms!A30</f>
        <v>40544</v>
      </c>
      <c r="B31">
        <f>VLOOKUP($A31,Fredconnect!$A$8:$J$39,B$6+1)</f>
        <v>112.747</v>
      </c>
      <c r="C31" s="2">
        <f>GovPrograms!O30*$B$36*0.001/Summary!$B31</f>
        <v>117.37433426490375</v>
      </c>
      <c r="D31" s="2">
        <f>GovPrograms!L30*$B$36*0.001/Summary!$B31</f>
        <v>111.54326105480236</v>
      </c>
      <c r="E31" s="2">
        <f>GovPrograms!M30*$B$36*0.001/Summary!$B31</f>
        <v>64.852541539630764</v>
      </c>
      <c r="F31" s="2">
        <f>GovPrograms!U30*$B$36*0.001/Summary!$B31-C31-D31-E31</f>
        <v>94.332435527880861</v>
      </c>
      <c r="G31" s="2">
        <f>mortmetrics!G18*$B$36*0.000000004/Summary!$B31</f>
        <v>77.213567207970243</v>
      </c>
      <c r="H31" s="2">
        <f>otherloans!F30*$B$36*0.004/Summary!$B31</f>
        <v>51.698716301688734</v>
      </c>
      <c r="J31">
        <f t="shared" si="6"/>
        <v>1.8900674230722536</v>
      </c>
    </row>
    <row r="32" spans="1:26">
      <c r="A32" s="5">
        <f>GovPrograms!A31</f>
        <v>40634</v>
      </c>
      <c r="B32">
        <f>VLOOKUP($A32,Fredconnect!$A$8:$J$39,B$6+1)</f>
        <v>113.666</v>
      </c>
      <c r="C32" s="2">
        <f>GovPrograms!O31*$B$36*0.001/Summary!$B32</f>
        <v>117.9214117811818</v>
      </c>
      <c r="D32" s="2">
        <f>GovPrograms!L31*$B$36*0.001/Summary!$B32</f>
        <v>101.02288733027996</v>
      </c>
      <c r="E32" s="2">
        <f>GovPrograms!M31*$B$36*0.001/Summary!$B32</f>
        <v>65.161648835535701</v>
      </c>
      <c r="F32" s="2">
        <f>GovPrograms!U31*$B$36*0.001/Summary!$B32-C32-D32-E32</f>
        <v>94.03955372215232</v>
      </c>
      <c r="G32" s="2"/>
      <c r="H32" s="2"/>
    </row>
    <row r="33" spans="1:21">
      <c r="A33" s="5"/>
    </row>
    <row r="34" spans="1:21">
      <c r="A34" s="5"/>
      <c r="U34" s="13"/>
    </row>
    <row r="36" spans="1:21">
      <c r="A36" s="24" t="s">
        <v>103</v>
      </c>
      <c r="B36">
        <f>AVERAGE(B26:B29)</f>
        <v>110.75975</v>
      </c>
    </row>
  </sheetData>
  <mergeCells count="2">
    <mergeCell ref="C5:H5"/>
    <mergeCell ref="N5:S5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workbookViewId="0"/>
  </sheetViews>
  <sheetFormatPr baseColWidth="10" defaultColWidth="12" defaultRowHeight="13" x14ac:dyDescent="0"/>
  <cols>
    <col min="1" max="1" width="12" style="1"/>
    <col min="2" max="2" width="12" style="2"/>
    <col min="3" max="3" width="12" style="1"/>
    <col min="4" max="4" width="12" style="2"/>
    <col min="5" max="5" width="12" style="1"/>
    <col min="6" max="6" width="12" style="2"/>
    <col min="7" max="7" width="12" style="1"/>
    <col min="8" max="8" width="12" style="2"/>
    <col min="9" max="9" width="12" style="1"/>
    <col min="10" max="10" width="12" style="2"/>
  </cols>
  <sheetData>
    <row r="1" spans="1:10">
      <c r="A1" s="1" t="s">
        <v>5</v>
      </c>
      <c r="C1" s="1" t="s">
        <v>6</v>
      </c>
      <c r="E1" s="1" t="s">
        <v>15</v>
      </c>
      <c r="G1" s="1" t="s">
        <v>14</v>
      </c>
      <c r="I1" s="1" t="s">
        <v>81</v>
      </c>
    </row>
    <row r="2" spans="1:10">
      <c r="A2" s="1" t="s">
        <v>0</v>
      </c>
      <c r="B2" s="2" t="s">
        <v>8</v>
      </c>
      <c r="C2" s="1" t="s">
        <v>0</v>
      </c>
      <c r="D2" s="2" t="s">
        <v>8</v>
      </c>
      <c r="E2" s="1" t="s">
        <v>0</v>
      </c>
      <c r="F2" s="2" t="s">
        <v>13</v>
      </c>
      <c r="G2" s="1" t="s">
        <v>0</v>
      </c>
      <c r="H2" s="2" t="s">
        <v>13</v>
      </c>
      <c r="I2" s="1" t="s">
        <v>0</v>
      </c>
      <c r="J2" s="2" t="s">
        <v>84</v>
      </c>
    </row>
    <row r="3" spans="1:10">
      <c r="A3" s="1" t="s">
        <v>2</v>
      </c>
      <c r="B3" s="2" t="s">
        <v>7</v>
      </c>
      <c r="C3" s="1" t="s">
        <v>2</v>
      </c>
      <c r="D3" s="2" t="s">
        <v>7</v>
      </c>
      <c r="E3" s="1" t="s">
        <v>2</v>
      </c>
      <c r="F3" s="2" t="s">
        <v>7</v>
      </c>
      <c r="G3" s="1" t="s">
        <v>2</v>
      </c>
      <c r="H3" s="2" t="s">
        <v>7</v>
      </c>
      <c r="I3" s="1" t="s">
        <v>2</v>
      </c>
      <c r="J3" s="2" t="s">
        <v>7</v>
      </c>
    </row>
    <row r="4" spans="1:10">
      <c r="A4" s="1">
        <v>38626</v>
      </c>
      <c r="B4" s="2" t="s">
        <v>11</v>
      </c>
      <c r="C4" s="1">
        <v>38626</v>
      </c>
      <c r="D4" s="2" t="s">
        <v>9</v>
      </c>
      <c r="E4" s="1">
        <v>38626</v>
      </c>
      <c r="F4" s="2" t="s">
        <v>9</v>
      </c>
      <c r="G4" s="1">
        <v>38626</v>
      </c>
      <c r="H4" s="2" t="s">
        <v>9</v>
      </c>
      <c r="I4" s="1">
        <v>38626</v>
      </c>
      <c r="J4" s="2" t="s">
        <v>85</v>
      </c>
    </row>
    <row r="5" spans="1:10">
      <c r="A5" s="3" t="s">
        <v>10</v>
      </c>
      <c r="C5" s="3" t="s">
        <v>12</v>
      </c>
      <c r="E5" s="3" t="s">
        <v>18</v>
      </c>
      <c r="G5" s="3" t="s">
        <v>19</v>
      </c>
      <c r="I5" s="3" t="s">
        <v>82</v>
      </c>
    </row>
    <row r="6" spans="1:10">
      <c r="A6" s="1" t="s">
        <v>1</v>
      </c>
      <c r="C6" s="1" t="s">
        <v>1</v>
      </c>
      <c r="E6" s="1" t="s">
        <v>1</v>
      </c>
      <c r="G6" s="1" t="s">
        <v>1</v>
      </c>
      <c r="I6" s="1" t="s">
        <v>83</v>
      </c>
    </row>
    <row r="7" spans="1:10">
      <c r="A7" s="1" t="s">
        <v>3</v>
      </c>
      <c r="B7" s="2" t="s">
        <v>4</v>
      </c>
      <c r="C7" s="1" t="s">
        <v>3</v>
      </c>
      <c r="D7" s="2" t="s">
        <v>4</v>
      </c>
      <c r="E7" s="1" t="s">
        <v>3</v>
      </c>
      <c r="F7" s="2" t="s">
        <v>4</v>
      </c>
      <c r="G7" s="1" t="s">
        <v>3</v>
      </c>
      <c r="H7" s="2" t="s">
        <v>4</v>
      </c>
      <c r="I7" s="1" t="s">
        <v>3</v>
      </c>
      <c r="J7" s="2" t="s">
        <v>4</v>
      </c>
    </row>
    <row r="8" spans="1:10">
      <c r="A8" s="1">
        <v>38626</v>
      </c>
      <c r="B8" s="2">
        <v>0.06</v>
      </c>
      <c r="C8" s="1">
        <v>38626</v>
      </c>
      <c r="D8" s="2">
        <v>3.03</v>
      </c>
      <c r="E8" s="1">
        <v>38626</v>
      </c>
      <c r="F8" s="2">
        <v>792908</v>
      </c>
      <c r="G8" s="1">
        <v>38626</v>
      </c>
      <c r="H8" s="2">
        <v>1616529</v>
      </c>
      <c r="I8" s="1">
        <v>38626</v>
      </c>
      <c r="J8" s="2">
        <v>101.371</v>
      </c>
    </row>
    <row r="9" spans="1:10">
      <c r="A9" s="1">
        <v>38718</v>
      </c>
      <c r="B9" s="2">
        <v>0.09</v>
      </c>
      <c r="C9" s="1">
        <v>38718</v>
      </c>
      <c r="D9" s="2">
        <v>1.76</v>
      </c>
      <c r="E9" s="1">
        <v>38718</v>
      </c>
      <c r="F9" s="2">
        <v>799456</v>
      </c>
      <c r="G9" s="1">
        <v>38718</v>
      </c>
      <c r="H9" s="2">
        <v>1632684</v>
      </c>
      <c r="I9" s="1">
        <v>38718</v>
      </c>
      <c r="J9" s="2">
        <v>101.794</v>
      </c>
    </row>
    <row r="10" spans="1:10">
      <c r="A10" s="1">
        <v>38808</v>
      </c>
      <c r="B10" s="2">
        <v>0.1</v>
      </c>
      <c r="C10" s="1">
        <v>38808</v>
      </c>
      <c r="D10" s="2">
        <v>1.95</v>
      </c>
      <c r="E10" s="1">
        <v>38808</v>
      </c>
      <c r="F10" s="2">
        <v>806247</v>
      </c>
      <c r="G10" s="1">
        <v>38808</v>
      </c>
      <c r="H10" s="2">
        <v>1676345</v>
      </c>
      <c r="I10" s="1">
        <v>38808</v>
      </c>
      <c r="J10" s="2">
        <v>102.548</v>
      </c>
    </row>
    <row r="11" spans="1:10">
      <c r="A11" s="1">
        <v>38899</v>
      </c>
      <c r="B11" s="2">
        <v>0.12</v>
      </c>
      <c r="C11" s="1">
        <v>38899</v>
      </c>
      <c r="D11" s="2">
        <v>2.25</v>
      </c>
      <c r="E11" s="1">
        <v>38899</v>
      </c>
      <c r="F11" s="2">
        <v>809729</v>
      </c>
      <c r="G11" s="1">
        <v>38899</v>
      </c>
      <c r="H11" s="2">
        <v>1704222</v>
      </c>
      <c r="I11" s="1">
        <v>38899</v>
      </c>
      <c r="J11" s="2">
        <v>103.286</v>
      </c>
    </row>
    <row r="12" spans="1:10">
      <c r="A12" s="1">
        <v>38991</v>
      </c>
      <c r="B12" s="2">
        <v>0.12</v>
      </c>
      <c r="C12" s="1">
        <v>38991</v>
      </c>
      <c r="D12" s="2">
        <v>2.25</v>
      </c>
      <c r="E12" s="1">
        <v>38991</v>
      </c>
      <c r="F12" s="2">
        <v>824247</v>
      </c>
      <c r="G12" s="1">
        <v>38991</v>
      </c>
      <c r="H12" s="2">
        <v>1871495</v>
      </c>
      <c r="I12" s="1">
        <v>38991</v>
      </c>
      <c r="J12" s="2">
        <v>103.264</v>
      </c>
    </row>
    <row r="13" spans="1:10">
      <c r="A13" s="1">
        <v>39083</v>
      </c>
      <c r="B13" s="2">
        <v>0.15</v>
      </c>
      <c r="C13" s="1">
        <v>39083</v>
      </c>
      <c r="D13" s="2">
        <v>2.34</v>
      </c>
      <c r="E13" s="1">
        <v>39083</v>
      </c>
      <c r="F13" s="2">
        <v>847791</v>
      </c>
      <c r="G13" s="1">
        <v>39083</v>
      </c>
      <c r="H13" s="2">
        <v>1830181</v>
      </c>
      <c r="I13" s="1">
        <v>39083</v>
      </c>
      <c r="J13" s="2">
        <v>104.267</v>
      </c>
    </row>
    <row r="14" spans="1:10">
      <c r="A14" s="1">
        <v>39173</v>
      </c>
      <c r="B14" s="2">
        <v>0.19</v>
      </c>
      <c r="C14" s="1">
        <v>39173</v>
      </c>
      <c r="D14" s="2">
        <v>2.37</v>
      </c>
      <c r="E14" s="1">
        <v>39173</v>
      </c>
      <c r="F14" s="2">
        <v>853692</v>
      </c>
      <c r="G14" s="1">
        <v>39173</v>
      </c>
      <c r="H14" s="2">
        <v>1868633</v>
      </c>
      <c r="I14" s="1">
        <v>39173</v>
      </c>
      <c r="J14" s="2">
        <v>105.158</v>
      </c>
    </row>
    <row r="15" spans="1:10">
      <c r="A15" s="1">
        <v>39264</v>
      </c>
      <c r="B15" s="2">
        <v>0.27</v>
      </c>
      <c r="C15" s="1">
        <v>39264</v>
      </c>
      <c r="D15" s="2">
        <v>2.57</v>
      </c>
      <c r="E15" s="1">
        <v>39264</v>
      </c>
      <c r="F15" s="2">
        <v>892459</v>
      </c>
      <c r="G15" s="1">
        <v>39264</v>
      </c>
      <c r="H15" s="2">
        <v>1898887</v>
      </c>
      <c r="I15" s="1">
        <v>39264</v>
      </c>
      <c r="J15" s="2">
        <v>105.739</v>
      </c>
    </row>
    <row r="16" spans="1:10">
      <c r="A16" s="1">
        <v>39356</v>
      </c>
      <c r="B16" s="2">
        <v>0.44</v>
      </c>
      <c r="C16" s="1">
        <v>39356</v>
      </c>
      <c r="D16" s="2">
        <v>2.71</v>
      </c>
      <c r="E16" s="1">
        <v>39356</v>
      </c>
      <c r="F16" s="2">
        <v>923159</v>
      </c>
      <c r="G16" s="1">
        <v>39356</v>
      </c>
      <c r="H16" s="2">
        <v>1971362</v>
      </c>
      <c r="I16" s="1">
        <v>39356</v>
      </c>
      <c r="J16" s="2">
        <v>106.833</v>
      </c>
    </row>
    <row r="17" spans="1:10">
      <c r="A17" s="1">
        <v>39448</v>
      </c>
      <c r="B17" s="2">
        <v>0.84</v>
      </c>
      <c r="C17" s="1">
        <v>39448</v>
      </c>
      <c r="D17" s="2">
        <v>2.95</v>
      </c>
      <c r="E17" s="1">
        <v>39448</v>
      </c>
      <c r="F17" s="2">
        <v>957469</v>
      </c>
      <c r="G17" s="1">
        <v>39448</v>
      </c>
      <c r="H17" s="2">
        <v>1982207</v>
      </c>
      <c r="I17" s="1">
        <v>39448</v>
      </c>
      <c r="J17" s="2">
        <v>107.852</v>
      </c>
    </row>
    <row r="18" spans="1:10">
      <c r="A18" s="1">
        <v>39539</v>
      </c>
      <c r="B18" s="2">
        <v>1.18</v>
      </c>
      <c r="C18" s="1">
        <v>39539</v>
      </c>
      <c r="D18" s="2">
        <v>3.35</v>
      </c>
      <c r="E18" s="1">
        <v>39539</v>
      </c>
      <c r="F18" s="2">
        <v>960262</v>
      </c>
      <c r="G18" s="1">
        <v>39539</v>
      </c>
      <c r="H18" s="2">
        <v>1973313</v>
      </c>
      <c r="I18" s="1">
        <v>39539</v>
      </c>
      <c r="J18" s="2">
        <v>109.05200000000001</v>
      </c>
    </row>
    <row r="19" spans="1:10">
      <c r="A19" s="1">
        <v>39630</v>
      </c>
      <c r="B19" s="2">
        <v>1.5</v>
      </c>
      <c r="C19" s="1">
        <v>39630</v>
      </c>
      <c r="D19" s="2">
        <v>3.62</v>
      </c>
      <c r="E19" s="1">
        <v>39630</v>
      </c>
      <c r="F19" s="2">
        <v>975384</v>
      </c>
      <c r="G19" s="1">
        <v>39630</v>
      </c>
      <c r="H19" s="2">
        <v>1946761</v>
      </c>
      <c r="I19" s="1">
        <v>39630</v>
      </c>
      <c r="J19" s="2">
        <v>110.218</v>
      </c>
    </row>
    <row r="20" spans="1:10">
      <c r="A20" s="1">
        <v>39722</v>
      </c>
      <c r="B20" s="2">
        <v>1.59</v>
      </c>
      <c r="C20" s="1">
        <v>39722</v>
      </c>
      <c r="D20" s="2">
        <v>4.1900000000000004</v>
      </c>
      <c r="E20" s="1">
        <v>39722</v>
      </c>
      <c r="F20" s="2">
        <v>980241</v>
      </c>
      <c r="G20" s="1">
        <v>39722</v>
      </c>
      <c r="H20" s="2">
        <v>2064032</v>
      </c>
      <c r="I20" s="1">
        <v>39722</v>
      </c>
      <c r="J20" s="2">
        <v>108.65</v>
      </c>
    </row>
    <row r="21" spans="1:10">
      <c r="A21" s="1">
        <v>39814</v>
      </c>
      <c r="B21" s="2">
        <v>1.8</v>
      </c>
      <c r="C21" s="1">
        <v>39814</v>
      </c>
      <c r="D21" s="2">
        <v>4.79</v>
      </c>
      <c r="E21" s="1">
        <v>39814</v>
      </c>
      <c r="F21" s="2">
        <v>991672</v>
      </c>
      <c r="G21" s="1">
        <v>39814</v>
      </c>
      <c r="H21" s="2">
        <v>2068591</v>
      </c>
      <c r="I21" s="1">
        <v>39814</v>
      </c>
      <c r="J21" s="2">
        <v>108.194</v>
      </c>
    </row>
    <row r="22" spans="1:10">
      <c r="A22" s="1">
        <v>39904</v>
      </c>
      <c r="B22" s="2">
        <v>2.36</v>
      </c>
      <c r="C22" s="1">
        <v>39904</v>
      </c>
      <c r="D22" s="2">
        <v>5.75</v>
      </c>
      <c r="E22" s="1">
        <v>39904</v>
      </c>
      <c r="F22" s="2">
        <v>961096</v>
      </c>
      <c r="G22" s="1">
        <v>39904</v>
      </c>
      <c r="H22" s="2">
        <v>2122148</v>
      </c>
      <c r="I22" s="1">
        <v>39904</v>
      </c>
      <c r="J22" s="2">
        <v>108.703</v>
      </c>
    </row>
    <row r="23" spans="1:10">
      <c r="A23" s="1">
        <v>39995</v>
      </c>
      <c r="B23" s="2">
        <v>2.46</v>
      </c>
      <c r="C23" s="1">
        <v>39995</v>
      </c>
      <c r="D23" s="2">
        <v>5.79</v>
      </c>
      <c r="E23" s="1">
        <v>39995</v>
      </c>
      <c r="F23" s="2">
        <v>954628</v>
      </c>
      <c r="G23" s="1">
        <v>39995</v>
      </c>
      <c r="H23" s="2">
        <v>2087397</v>
      </c>
      <c r="I23" s="1">
        <v>39995</v>
      </c>
      <c r="J23" s="2">
        <v>109.51300000000001</v>
      </c>
    </row>
    <row r="24" spans="1:10">
      <c r="A24" s="1">
        <v>40087</v>
      </c>
      <c r="B24" s="2">
        <v>2.82</v>
      </c>
      <c r="C24" s="1">
        <v>40087</v>
      </c>
      <c r="D24" s="2">
        <v>5.64</v>
      </c>
      <c r="E24" s="1">
        <v>40087</v>
      </c>
      <c r="F24" s="2">
        <v>954425</v>
      </c>
      <c r="G24" s="1">
        <v>40087</v>
      </c>
      <c r="H24" s="2">
        <v>2115933</v>
      </c>
      <c r="I24" s="1">
        <v>40087</v>
      </c>
      <c r="J24" s="2">
        <v>110.265</v>
      </c>
    </row>
    <row r="25" spans="1:10">
      <c r="A25" s="1">
        <v>40179</v>
      </c>
      <c r="B25" s="2">
        <v>2.44</v>
      </c>
      <c r="C25" s="1">
        <v>40179</v>
      </c>
      <c r="D25" s="2">
        <v>6.57</v>
      </c>
      <c r="E25" s="1">
        <v>40179</v>
      </c>
      <c r="F25" s="2">
        <v>1310182</v>
      </c>
      <c r="G25" s="1">
        <v>40179</v>
      </c>
      <c r="H25" s="2">
        <v>2104645</v>
      </c>
      <c r="I25" s="1">
        <v>40179</v>
      </c>
      <c r="J25" s="2">
        <v>110.774</v>
      </c>
    </row>
    <row r="26" spans="1:10">
      <c r="A26" s="1">
        <v>40269</v>
      </c>
      <c r="B26" s="2">
        <v>2.15</v>
      </c>
      <c r="C26" s="1">
        <v>40269</v>
      </c>
      <c r="D26" s="2">
        <v>6.79</v>
      </c>
      <c r="E26" s="1">
        <v>40269</v>
      </c>
      <c r="F26" s="2">
        <v>1260051</v>
      </c>
      <c r="G26" s="1">
        <v>40269</v>
      </c>
      <c r="H26" s="2">
        <v>2079354</v>
      </c>
      <c r="I26" s="1">
        <v>40269</v>
      </c>
      <c r="J26" s="2">
        <v>110.864</v>
      </c>
    </row>
    <row r="27" spans="1:10">
      <c r="A27" s="1">
        <v>40360</v>
      </c>
      <c r="B27" s="2">
        <v>1.94</v>
      </c>
      <c r="C27" s="1">
        <v>40360</v>
      </c>
      <c r="D27" s="2">
        <v>5.32</v>
      </c>
      <c r="E27" s="1">
        <v>40360</v>
      </c>
      <c r="F27" s="2">
        <v>1248315</v>
      </c>
      <c r="G27" s="1">
        <v>40360</v>
      </c>
      <c r="H27" s="2">
        <v>2075240</v>
      </c>
      <c r="I27" s="1">
        <v>40360</v>
      </c>
      <c r="J27" s="2">
        <v>111.136</v>
      </c>
    </row>
    <row r="28" spans="1:10">
      <c r="A28" s="1">
        <v>40452</v>
      </c>
      <c r="B28" s="2">
        <v>1.96</v>
      </c>
      <c r="C28" s="1">
        <v>40452</v>
      </c>
      <c r="D28" s="2">
        <v>4.8099999999999996</v>
      </c>
      <c r="E28" s="1">
        <v>40452</v>
      </c>
      <c r="F28" s="2">
        <v>1231930</v>
      </c>
      <c r="G28" s="1">
        <v>40452</v>
      </c>
      <c r="H28" s="2">
        <v>2084917</v>
      </c>
      <c r="I28" s="1">
        <v>40452</v>
      </c>
      <c r="J28" s="2">
        <v>111.673</v>
      </c>
    </row>
    <row r="29" spans="1:10">
      <c r="A29" s="1">
        <v>40544</v>
      </c>
      <c r="B29" s="2">
        <v>1.7</v>
      </c>
      <c r="C29" s="1">
        <v>40544</v>
      </c>
      <c r="D29" s="2">
        <v>4.41</v>
      </c>
      <c r="E29" s="1">
        <v>40544</v>
      </c>
      <c r="F29" s="2">
        <v>1193340</v>
      </c>
      <c r="G29" s="1">
        <v>40544</v>
      </c>
      <c r="H29" s="2">
        <v>2058024</v>
      </c>
      <c r="I29" s="1">
        <v>40544</v>
      </c>
      <c r="J29" s="2">
        <v>112.747</v>
      </c>
    </row>
    <row r="30" spans="1:10">
      <c r="A30" s="1">
        <v>40634</v>
      </c>
      <c r="B30" s="2">
        <v>1.68</v>
      </c>
      <c r="C30" s="1">
        <v>40634</v>
      </c>
      <c r="D30" s="2">
        <v>3.61</v>
      </c>
      <c r="E30" s="1">
        <v>40634</v>
      </c>
      <c r="F30" s="2">
        <v>1183695</v>
      </c>
      <c r="G30" s="1">
        <v>40634</v>
      </c>
      <c r="H30" s="2">
        <v>2016894</v>
      </c>
      <c r="I30" s="1">
        <v>40634</v>
      </c>
      <c r="J30" s="2">
        <v>113.666</v>
      </c>
    </row>
    <row r="31" spans="1:10">
      <c r="I31" s="1">
        <v>40725</v>
      </c>
      <c r="J31" s="2">
        <v>114.31699999999999</v>
      </c>
    </row>
  </sheetData>
  <hyperlinks>
    <hyperlink ref="A5" r:id="rId1"/>
    <hyperlink ref="C5" r:id="rId2"/>
    <hyperlink ref="E5" r:id="rId3"/>
    <hyperlink ref="G5" r:id="rId4"/>
    <hyperlink ref="I5" r:id="rId5"/>
  </hyperlink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workbookViewId="0"/>
  </sheetViews>
  <sheetFormatPr baseColWidth="10" defaultColWidth="8.83203125" defaultRowHeight="13" x14ac:dyDescent="0"/>
  <cols>
    <col min="6" max="6" width="14.83203125" customWidth="1"/>
    <col min="7" max="7" width="13.83203125" customWidth="1"/>
  </cols>
  <sheetData>
    <row r="1" spans="1:7">
      <c r="A1" t="s">
        <v>20</v>
      </c>
    </row>
    <row r="4" spans="1:7">
      <c r="B4" s="46" t="s">
        <v>36</v>
      </c>
      <c r="C4" s="46"/>
      <c r="D4" s="46"/>
      <c r="E4" s="46"/>
    </row>
    <row r="5" spans="1:7">
      <c r="A5" t="s">
        <v>21</v>
      </c>
      <c r="B5" t="s">
        <v>22</v>
      </c>
      <c r="C5" t="s">
        <v>23</v>
      </c>
      <c r="D5" t="s">
        <v>24</v>
      </c>
      <c r="E5" t="s">
        <v>25</v>
      </c>
      <c r="F5" t="s">
        <v>26</v>
      </c>
      <c r="G5" t="s">
        <v>37</v>
      </c>
    </row>
    <row r="6" spans="1:7">
      <c r="A6" s="5">
        <f>DATE(2008,1,1)</f>
        <v>39448</v>
      </c>
      <c r="B6" s="6">
        <v>6588</v>
      </c>
      <c r="C6" s="6">
        <v>208832</v>
      </c>
      <c r="D6" s="6">
        <f>B6+C6</f>
        <v>215420</v>
      </c>
      <c r="E6" s="6">
        <f>D6</f>
        <v>215420</v>
      </c>
      <c r="F6" s="6">
        <f>E6*$A$31</f>
        <v>4377040434.7017365</v>
      </c>
      <c r="G6" s="6">
        <f>D6*$A$31/$A$22</f>
        <v>6947683229.6852961</v>
      </c>
    </row>
    <row r="7" spans="1:7">
      <c r="A7" s="5">
        <f>DATE(2008,4,1)</f>
        <v>39539</v>
      </c>
      <c r="B7" s="6">
        <v>9029</v>
      </c>
      <c r="C7" s="6">
        <v>259424</v>
      </c>
      <c r="D7" s="6">
        <f t="shared" ref="D7:D18" si="0">B7+C7</f>
        <v>268453</v>
      </c>
      <c r="E7" s="6">
        <f>E6+D7</f>
        <v>483873</v>
      </c>
      <c r="F7" s="6">
        <f t="shared" ref="F7:F18" si="1">E7*$A$31</f>
        <v>9831639059.7921886</v>
      </c>
      <c r="G7" s="6">
        <f t="shared" ref="G7:G18" si="2">D7*$A$31/$A$22</f>
        <v>8658093055.699131</v>
      </c>
    </row>
    <row r="8" spans="1:7">
      <c r="A8" s="5">
        <f>DATE(2008,7,1)</f>
        <v>39630</v>
      </c>
      <c r="B8" s="6">
        <v>13888</v>
      </c>
      <c r="C8" s="6">
        <v>271132</v>
      </c>
      <c r="D8" s="6">
        <f t="shared" si="0"/>
        <v>285020</v>
      </c>
      <c r="E8" s="6">
        <f t="shared" ref="E8:E18" si="3">E7+D8</f>
        <v>768893</v>
      </c>
      <c r="F8" s="6">
        <f t="shared" si="1"/>
        <v>15622856517.310938</v>
      </c>
      <c r="G8" s="6">
        <f t="shared" si="2"/>
        <v>9192408662.7281742</v>
      </c>
    </row>
    <row r="9" spans="1:7">
      <c r="A9" s="5">
        <f>DATE(2008,10,1)</f>
        <v>39722</v>
      </c>
      <c r="B9" s="6">
        <f>16809+1186</f>
        <v>17995</v>
      </c>
      <c r="C9" s="6">
        <v>301648</v>
      </c>
      <c r="D9" s="6">
        <f t="shared" si="0"/>
        <v>319643</v>
      </c>
      <c r="E9" s="6">
        <f t="shared" si="3"/>
        <v>1088536</v>
      </c>
      <c r="F9" s="6">
        <f t="shared" si="1"/>
        <v>22117566087.774998</v>
      </c>
      <c r="G9" s="6">
        <f t="shared" si="2"/>
        <v>10309062810.260408</v>
      </c>
    </row>
    <row r="10" spans="1:7">
      <c r="A10" s="5">
        <f>DATE(2009,1,1)</f>
        <v>39814</v>
      </c>
      <c r="B10" s="6">
        <f>18619+1298</f>
        <v>19917</v>
      </c>
      <c r="C10" s="6">
        <v>361070</v>
      </c>
      <c r="D10" s="6">
        <f t="shared" si="0"/>
        <v>380987</v>
      </c>
      <c r="E10" s="6">
        <f t="shared" si="3"/>
        <v>1469523</v>
      </c>
      <c r="F10" s="6">
        <f t="shared" si="1"/>
        <v>29858702027.315014</v>
      </c>
      <c r="G10" s="6">
        <f t="shared" si="2"/>
        <v>12287517364.349234</v>
      </c>
    </row>
    <row r="11" spans="1:7">
      <c r="A11" s="5">
        <f>DATE(2009,4,1)</f>
        <v>39904</v>
      </c>
      <c r="B11" s="6">
        <f>25128+1120</f>
        <v>26248</v>
      </c>
      <c r="C11" s="6">
        <v>406108</v>
      </c>
      <c r="D11" s="6">
        <f t="shared" si="0"/>
        <v>432356</v>
      </c>
      <c r="E11" s="6">
        <f t="shared" si="3"/>
        <v>1901879</v>
      </c>
      <c r="F11" s="6">
        <f t="shared" si="1"/>
        <v>38643585947.962601</v>
      </c>
      <c r="G11" s="6">
        <f t="shared" si="2"/>
        <v>13944260191.504112</v>
      </c>
    </row>
    <row r="12" spans="1:7">
      <c r="A12" s="5">
        <f>DATE(2009,7,1)</f>
        <v>39995</v>
      </c>
      <c r="B12" s="6">
        <f>30766+1233</f>
        <v>31999</v>
      </c>
      <c r="C12" s="6">
        <v>677920</v>
      </c>
      <c r="D12" s="6">
        <f t="shared" si="0"/>
        <v>709919</v>
      </c>
      <c r="E12" s="6">
        <f t="shared" si="3"/>
        <v>2611798</v>
      </c>
      <c r="F12" s="6">
        <f t="shared" si="1"/>
        <v>53068171262.060745</v>
      </c>
      <c r="G12" s="6">
        <f t="shared" si="2"/>
        <v>22896167165.235149</v>
      </c>
    </row>
    <row r="13" spans="1:7">
      <c r="A13" s="5">
        <f>DATE(2009,10,1)</f>
        <v>40087</v>
      </c>
      <c r="B13" s="6">
        <f>37584+1054</f>
        <v>38638</v>
      </c>
      <c r="C13" s="6">
        <v>601342</v>
      </c>
      <c r="D13" s="6">
        <f t="shared" si="0"/>
        <v>639980</v>
      </c>
      <c r="E13" s="6">
        <f t="shared" si="3"/>
        <v>3251778</v>
      </c>
      <c r="F13" s="6">
        <f t="shared" si="1"/>
        <v>66071691535.946266</v>
      </c>
      <c r="G13" s="6">
        <f t="shared" si="2"/>
        <v>20640508371.246845</v>
      </c>
    </row>
    <row r="14" spans="1:7">
      <c r="A14" s="5">
        <f>DATE(2010,1,1)</f>
        <v>40179</v>
      </c>
      <c r="B14" s="6">
        <v>42233</v>
      </c>
      <c r="C14" s="6">
        <v>622694</v>
      </c>
      <c r="D14" s="6">
        <f t="shared" si="0"/>
        <v>664927</v>
      </c>
      <c r="E14" s="6">
        <f t="shared" si="3"/>
        <v>3916705</v>
      </c>
      <c r="F14" s="6">
        <f t="shared" si="1"/>
        <v>79582100806.78891</v>
      </c>
      <c r="G14" s="6">
        <f t="shared" si="2"/>
        <v>21445094080.702602</v>
      </c>
    </row>
    <row r="15" spans="1:7">
      <c r="A15" s="5">
        <f>DATE(2010,4,1)</f>
        <v>40269</v>
      </c>
      <c r="B15" s="6">
        <v>57194</v>
      </c>
      <c r="C15" s="6">
        <v>566849</v>
      </c>
      <c r="D15" s="6">
        <f t="shared" si="0"/>
        <v>624043</v>
      </c>
      <c r="E15" s="6">
        <f t="shared" si="3"/>
        <v>4540748</v>
      </c>
      <c r="F15" s="6">
        <f t="shared" si="1"/>
        <v>92261802988.538864</v>
      </c>
      <c r="G15" s="6">
        <f t="shared" si="2"/>
        <v>20126511399.603107</v>
      </c>
    </row>
    <row r="16" spans="1:7">
      <c r="A16" s="5">
        <f>DATE(2010,7,1)</f>
        <v>40360</v>
      </c>
      <c r="B16" s="6">
        <v>57986</v>
      </c>
      <c r="C16" s="6">
        <v>468109</v>
      </c>
      <c r="D16" s="6">
        <f t="shared" si="0"/>
        <v>526095</v>
      </c>
      <c r="E16" s="6">
        <f t="shared" si="3"/>
        <v>5066843</v>
      </c>
      <c r="F16" s="6">
        <f t="shared" si="1"/>
        <v>102951335471.56926</v>
      </c>
      <c r="G16" s="6">
        <f t="shared" si="2"/>
        <v>16967511877.826042</v>
      </c>
    </row>
    <row r="17" spans="1:7">
      <c r="A17" s="5">
        <f>DATE(2010,10,1)</f>
        <v>40452</v>
      </c>
      <c r="B17" s="6">
        <f>49052+2085</f>
        <v>51137</v>
      </c>
      <c r="C17" s="6">
        <v>474778</v>
      </c>
      <c r="D17" s="6">
        <f t="shared" si="0"/>
        <v>525915</v>
      </c>
      <c r="E17" s="6">
        <f t="shared" si="3"/>
        <v>5592758</v>
      </c>
      <c r="F17" s="6">
        <f t="shared" si="1"/>
        <v>113637210600.23032</v>
      </c>
      <c r="G17" s="6">
        <f t="shared" si="2"/>
        <v>16961706553.430243</v>
      </c>
    </row>
    <row r="18" spans="1:7">
      <c r="A18" s="5">
        <f>DATE(2011,1,1)</f>
        <v>40544</v>
      </c>
      <c r="B18" s="6">
        <f>50109+1700</f>
        <v>51809</v>
      </c>
      <c r="C18" s="6">
        <v>557451</v>
      </c>
      <c r="D18" s="6">
        <f t="shared" si="0"/>
        <v>609260</v>
      </c>
      <c r="E18" s="6">
        <f t="shared" si="3"/>
        <v>6202018</v>
      </c>
      <c r="F18" s="6">
        <f t="shared" si="1"/>
        <v>126016542395.07936</v>
      </c>
      <c r="G18" s="6">
        <f t="shared" si="2"/>
        <v>19649733007.696888</v>
      </c>
    </row>
    <row r="19" spans="1:7">
      <c r="A19" s="5">
        <f>DATE(2011,4,1)</f>
        <v>40634</v>
      </c>
    </row>
    <row r="21" spans="1:7">
      <c r="A21" t="s">
        <v>27</v>
      </c>
    </row>
    <row r="22" spans="1:7">
      <c r="A22">
        <v>0.63</v>
      </c>
      <c r="B22" t="s">
        <v>28</v>
      </c>
    </row>
    <row r="23" spans="1:7">
      <c r="A23">
        <v>32.9</v>
      </c>
      <c r="B23" t="s">
        <v>29</v>
      </c>
    </row>
    <row r="24" spans="1:7">
      <c r="A24">
        <v>5.7</v>
      </c>
      <c r="B24" t="s">
        <v>30</v>
      </c>
    </row>
    <row r="26" spans="1:7">
      <c r="A26" t="s">
        <v>31</v>
      </c>
    </row>
    <row r="27" spans="1:7">
      <c r="A27">
        <v>400</v>
      </c>
      <c r="B27" t="s">
        <v>32</v>
      </c>
    </row>
    <row r="28" spans="1:7">
      <c r="A28">
        <v>60</v>
      </c>
      <c r="B28" t="s">
        <v>33</v>
      </c>
    </row>
    <row r="29" spans="1:7">
      <c r="A29">
        <v>7.0000000000000007E-2</v>
      </c>
      <c r="B29" t="s">
        <v>34</v>
      </c>
    </row>
    <row r="30" spans="1:7">
      <c r="A30">
        <f>A29/12</f>
        <v>5.8333333333333336E-3</v>
      </c>
      <c r="B30" t="s">
        <v>35</v>
      </c>
    </row>
    <row r="31" spans="1:7">
      <c r="A31" s="6">
        <f>A27*(1+A30)*(1-(1+A30)^(-A28))/A30</f>
        <v>20318.635385301906</v>
      </c>
      <c r="B31" t="s">
        <v>4</v>
      </c>
    </row>
  </sheetData>
  <mergeCells count="1">
    <mergeCell ref="B4:E4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workbookViewId="0"/>
  </sheetViews>
  <sheetFormatPr baseColWidth="10" defaultColWidth="8.83203125" defaultRowHeight="13" x14ac:dyDescent="0"/>
  <cols>
    <col min="2" max="3" width="14.6640625" customWidth="1"/>
    <col min="4" max="7" width="12.6640625" customWidth="1"/>
  </cols>
  <sheetData>
    <row r="1" spans="1:7">
      <c r="A1" t="s">
        <v>39</v>
      </c>
    </row>
    <row r="2" spans="1:7">
      <c r="B2" s="46" t="s">
        <v>40</v>
      </c>
      <c r="C2" s="46"/>
      <c r="D2" s="46" t="s">
        <v>41</v>
      </c>
      <c r="E2" s="46"/>
      <c r="F2" s="46" t="s">
        <v>42</v>
      </c>
      <c r="G2" s="46"/>
    </row>
    <row r="3" spans="1:7">
      <c r="B3">
        <f>MATCH(B4,Fredconnect!$A$1:$H$1,0)</f>
        <v>5</v>
      </c>
      <c r="C3">
        <f>MATCH(C4,Fredconnect!$A$1:$H$1,0)</f>
        <v>7</v>
      </c>
      <c r="D3">
        <f>MATCH(D4,Fredconnect!$A$1:$H$1,0)</f>
        <v>3</v>
      </c>
      <c r="E3">
        <f>MATCH(E4,Fredconnect!$A$1:$H$1,0)</f>
        <v>1</v>
      </c>
    </row>
    <row r="4" spans="1:7">
      <c r="B4" t="s">
        <v>15</v>
      </c>
      <c r="C4" t="s">
        <v>14</v>
      </c>
      <c r="D4" t="s">
        <v>6</v>
      </c>
      <c r="E4" t="s">
        <v>5</v>
      </c>
      <c r="F4" t="s">
        <v>17</v>
      </c>
      <c r="G4" s="4" t="s">
        <v>16</v>
      </c>
    </row>
    <row r="5" spans="1:7">
      <c r="A5" s="1" t="s">
        <v>3</v>
      </c>
      <c r="B5" t="s">
        <v>17</v>
      </c>
      <c r="C5" s="4" t="s">
        <v>16</v>
      </c>
      <c r="D5" t="s">
        <v>17</v>
      </c>
      <c r="E5" s="4" t="s">
        <v>16</v>
      </c>
    </row>
    <row r="6" spans="1:7">
      <c r="A6" s="1"/>
      <c r="C6" s="4"/>
      <c r="E6" s="4"/>
    </row>
    <row r="7" spans="1:7">
      <c r="A7" s="1" t="s">
        <v>89</v>
      </c>
      <c r="B7" s="6"/>
      <c r="C7" s="4"/>
      <c r="E7" s="4"/>
      <c r="F7" s="6"/>
      <c r="G7" s="6">
        <f>SUM(G18:G21)</f>
        <v>25488.788999999997</v>
      </c>
    </row>
    <row r="8" spans="1:7">
      <c r="A8" s="1"/>
      <c r="C8" s="4"/>
      <c r="E8" s="4"/>
    </row>
    <row r="9" spans="1:7">
      <c r="A9" s="5">
        <v>38626</v>
      </c>
      <c r="B9" s="6">
        <f>VLOOKUP($A9,Fredconnect!$A$8:$H$39,otherloans!B$3+1)</f>
        <v>792908</v>
      </c>
      <c r="C9" s="6">
        <f>VLOOKUP($A9,Fredconnect!$A$8:$H$39,otherloans!C$3+1)</f>
        <v>1616529</v>
      </c>
      <c r="D9" s="7">
        <f>VLOOKUP($A9,Fredconnect!$A$8:$H$39,D$3+1)/100</f>
        <v>3.0299999999999997E-2</v>
      </c>
      <c r="E9" s="7">
        <f>VLOOKUP($A9,Fredconnect!$A$8:$H$39,E$3+1)/100</f>
        <v>5.9999999999999995E-4</v>
      </c>
      <c r="F9" s="6">
        <f t="shared" ref="F9:F30" si="0">B9*D9/4</f>
        <v>6006.2780999999995</v>
      </c>
      <c r="G9" s="6">
        <f t="shared" ref="G9:G30" si="1">C9*E9/4</f>
        <v>242.47934999999998</v>
      </c>
    </row>
    <row r="10" spans="1:7">
      <c r="A10" s="5">
        <v>38718</v>
      </c>
      <c r="B10" s="6">
        <f>VLOOKUP($A10,Fredconnect!$A$8:$H$39,otherloans!B$3+1)</f>
        <v>799456</v>
      </c>
      <c r="C10" s="6">
        <f>VLOOKUP($A10,Fredconnect!$A$8:$H$39,otherloans!C$3+1)</f>
        <v>1632684</v>
      </c>
      <c r="D10" s="7">
        <f>VLOOKUP($A10,Fredconnect!$A$8:$H$39,D$3+1)/100</f>
        <v>1.7600000000000001E-2</v>
      </c>
      <c r="E10" s="7">
        <f>VLOOKUP($A10,Fredconnect!$A$8:$H$39,E$3+1)/100</f>
        <v>8.9999999999999998E-4</v>
      </c>
      <c r="F10" s="6">
        <f t="shared" si="0"/>
        <v>3517.6064000000001</v>
      </c>
      <c r="G10" s="6">
        <f t="shared" si="1"/>
        <v>367.35390000000001</v>
      </c>
    </row>
    <row r="11" spans="1:7">
      <c r="A11" s="5">
        <v>38808</v>
      </c>
      <c r="B11" s="6">
        <f>VLOOKUP($A11,Fredconnect!$A$8:$H$39,otherloans!B$3+1)</f>
        <v>806247</v>
      </c>
      <c r="C11" s="6">
        <f>VLOOKUP($A11,Fredconnect!$A$8:$H$39,otherloans!C$3+1)</f>
        <v>1676345</v>
      </c>
      <c r="D11" s="7">
        <f>VLOOKUP($A11,Fredconnect!$A$8:$H$39,D$3+1)/100</f>
        <v>1.95E-2</v>
      </c>
      <c r="E11" s="7">
        <f>VLOOKUP($A11,Fredconnect!$A$8:$H$39,E$3+1)/100</f>
        <v>1E-3</v>
      </c>
      <c r="F11" s="6">
        <f t="shared" si="0"/>
        <v>3930.4541250000002</v>
      </c>
      <c r="G11" s="6">
        <f t="shared" si="1"/>
        <v>419.08625000000001</v>
      </c>
    </row>
    <row r="12" spans="1:7">
      <c r="A12" s="5">
        <v>38899</v>
      </c>
      <c r="B12" s="6">
        <f>VLOOKUP($A12,Fredconnect!$A$8:$H$39,otherloans!B$3+1)</f>
        <v>809729</v>
      </c>
      <c r="C12" s="6">
        <f>VLOOKUP($A12,Fredconnect!$A$8:$H$39,otherloans!C$3+1)</f>
        <v>1704222</v>
      </c>
      <c r="D12" s="7">
        <f>VLOOKUP($A12,Fredconnect!$A$8:$H$39,D$3+1)/100</f>
        <v>2.2499999999999999E-2</v>
      </c>
      <c r="E12" s="7">
        <f>VLOOKUP($A12,Fredconnect!$A$8:$H$39,E$3+1)/100</f>
        <v>1.1999999999999999E-3</v>
      </c>
      <c r="F12" s="6">
        <f t="shared" si="0"/>
        <v>4554.725625</v>
      </c>
      <c r="G12" s="6">
        <f t="shared" si="1"/>
        <v>511.26659999999998</v>
      </c>
    </row>
    <row r="13" spans="1:7">
      <c r="A13" s="5">
        <v>38991</v>
      </c>
      <c r="B13" s="6">
        <f>VLOOKUP($A13,Fredconnect!$A$8:$H$39,otherloans!B$3+1)</f>
        <v>824247</v>
      </c>
      <c r="C13" s="6">
        <f>VLOOKUP($A13,Fredconnect!$A$8:$H$39,otherloans!C$3+1)</f>
        <v>1871495</v>
      </c>
      <c r="D13" s="7">
        <f>VLOOKUP($A13,Fredconnect!$A$8:$H$39,D$3+1)/100</f>
        <v>2.2499999999999999E-2</v>
      </c>
      <c r="E13" s="7">
        <f>VLOOKUP($A13,Fredconnect!$A$8:$H$39,E$3+1)/100</f>
        <v>1.1999999999999999E-3</v>
      </c>
      <c r="F13" s="6">
        <f t="shared" si="0"/>
        <v>4636.3893749999997</v>
      </c>
      <c r="G13" s="6">
        <f t="shared" si="1"/>
        <v>561.44849999999997</v>
      </c>
    </row>
    <row r="14" spans="1:7">
      <c r="A14" s="5">
        <v>39083</v>
      </c>
      <c r="B14" s="6">
        <f>VLOOKUP($A14,Fredconnect!$A$8:$H$39,otherloans!B$3+1)</f>
        <v>847791</v>
      </c>
      <c r="C14" s="6">
        <f>VLOOKUP($A14,Fredconnect!$A$8:$H$39,otherloans!C$3+1)</f>
        <v>1830181</v>
      </c>
      <c r="D14" s="7">
        <f>VLOOKUP($A14,Fredconnect!$A$8:$H$39,D$3+1)/100</f>
        <v>2.3399999999999997E-2</v>
      </c>
      <c r="E14" s="7">
        <f>VLOOKUP($A14,Fredconnect!$A$8:$H$39,E$3+1)/100</f>
        <v>1.5E-3</v>
      </c>
      <c r="F14" s="6">
        <f t="shared" si="0"/>
        <v>4959.5773499999996</v>
      </c>
      <c r="G14" s="6">
        <f t="shared" si="1"/>
        <v>686.31787499999996</v>
      </c>
    </row>
    <row r="15" spans="1:7">
      <c r="A15" s="5">
        <v>39173</v>
      </c>
      <c r="B15" s="6">
        <f>VLOOKUP($A15,Fredconnect!$A$8:$H$39,otherloans!B$3+1)</f>
        <v>853692</v>
      </c>
      <c r="C15" s="6">
        <f>VLOOKUP($A15,Fredconnect!$A$8:$H$39,otherloans!C$3+1)</f>
        <v>1868633</v>
      </c>
      <c r="D15" s="7">
        <f>VLOOKUP($A15,Fredconnect!$A$8:$H$39,D$3+1)/100</f>
        <v>2.3700000000000002E-2</v>
      </c>
      <c r="E15" s="7">
        <f>VLOOKUP($A15,Fredconnect!$A$8:$H$39,E$3+1)/100</f>
        <v>1.9E-3</v>
      </c>
      <c r="F15" s="6">
        <f t="shared" si="0"/>
        <v>5058.1251000000002</v>
      </c>
      <c r="G15" s="6">
        <f t="shared" si="1"/>
        <v>887.60067500000002</v>
      </c>
    </row>
    <row r="16" spans="1:7">
      <c r="A16" s="5">
        <v>39264</v>
      </c>
      <c r="B16" s="6">
        <f>VLOOKUP($A16,Fredconnect!$A$8:$H$39,otherloans!B$3+1)</f>
        <v>892459</v>
      </c>
      <c r="C16" s="6">
        <f>VLOOKUP($A16,Fredconnect!$A$8:$H$39,otherloans!C$3+1)</f>
        <v>1898887</v>
      </c>
      <c r="D16" s="7">
        <f>VLOOKUP($A16,Fredconnect!$A$8:$H$39,D$3+1)/100</f>
        <v>2.5699999999999997E-2</v>
      </c>
      <c r="E16" s="7">
        <f>VLOOKUP($A16,Fredconnect!$A$8:$H$39,E$3+1)/100</f>
        <v>2.7000000000000001E-3</v>
      </c>
      <c r="F16" s="6">
        <f t="shared" si="0"/>
        <v>5734.049074999999</v>
      </c>
      <c r="G16" s="6">
        <f t="shared" si="1"/>
        <v>1281.7487250000001</v>
      </c>
    </row>
    <row r="17" spans="1:7">
      <c r="A17" s="5">
        <v>39356</v>
      </c>
      <c r="B17" s="6">
        <f>VLOOKUP($A17,Fredconnect!$A$8:$H$39,otherloans!B$3+1)</f>
        <v>923159</v>
      </c>
      <c r="C17" s="6">
        <f>VLOOKUP($A17,Fredconnect!$A$8:$H$39,otherloans!C$3+1)</f>
        <v>1971362</v>
      </c>
      <c r="D17" s="7">
        <f>VLOOKUP($A17,Fredconnect!$A$8:$H$39,D$3+1)/100</f>
        <v>2.7099999999999999E-2</v>
      </c>
      <c r="E17" s="7">
        <f>VLOOKUP($A17,Fredconnect!$A$8:$H$39,E$3+1)/100</f>
        <v>4.4000000000000003E-3</v>
      </c>
      <c r="F17" s="6">
        <f t="shared" si="0"/>
        <v>6254.4022249999998</v>
      </c>
      <c r="G17" s="6">
        <f t="shared" si="1"/>
        <v>2168.4982</v>
      </c>
    </row>
    <row r="18" spans="1:7">
      <c r="A18" s="5">
        <v>39448</v>
      </c>
      <c r="B18" s="6">
        <f>VLOOKUP($A18,Fredconnect!$A$8:$H$39,otherloans!B$3+1)</f>
        <v>957469</v>
      </c>
      <c r="C18" s="6">
        <f>VLOOKUP($A18,Fredconnect!$A$8:$H$39,otherloans!C$3+1)</f>
        <v>1982207</v>
      </c>
      <c r="D18" s="7">
        <f>VLOOKUP($A18,Fredconnect!$A$8:$H$39,D$3+1)/100</f>
        <v>2.9500000000000002E-2</v>
      </c>
      <c r="E18" s="7">
        <f>VLOOKUP($A18,Fredconnect!$A$8:$H$39,E$3+1)/100</f>
        <v>8.3999999999999995E-3</v>
      </c>
      <c r="F18" s="6">
        <f t="shared" si="0"/>
        <v>7061.3338750000003</v>
      </c>
      <c r="G18" s="6">
        <f t="shared" si="1"/>
        <v>4162.6346999999996</v>
      </c>
    </row>
    <row r="19" spans="1:7">
      <c r="A19" s="5">
        <v>39539</v>
      </c>
      <c r="B19" s="6">
        <f>VLOOKUP($A19,Fredconnect!$A$8:$H$39,otherloans!B$3+1)</f>
        <v>960262</v>
      </c>
      <c r="C19" s="6">
        <f>VLOOKUP($A19,Fredconnect!$A$8:$H$39,otherloans!C$3+1)</f>
        <v>1973313</v>
      </c>
      <c r="D19" s="7">
        <f>VLOOKUP($A19,Fredconnect!$A$8:$H$39,D$3+1)/100</f>
        <v>3.3500000000000002E-2</v>
      </c>
      <c r="E19" s="7">
        <f>VLOOKUP($A19,Fredconnect!$A$8:$H$39,E$3+1)/100</f>
        <v>1.18E-2</v>
      </c>
      <c r="F19" s="6">
        <f t="shared" si="0"/>
        <v>8042.1942500000005</v>
      </c>
      <c r="G19" s="6">
        <f t="shared" si="1"/>
        <v>5821.2733499999995</v>
      </c>
    </row>
    <row r="20" spans="1:7">
      <c r="A20" s="5">
        <v>39630</v>
      </c>
      <c r="B20" s="6">
        <f>VLOOKUP($A20,Fredconnect!$A$8:$H$39,otherloans!B$3+1)</f>
        <v>975384</v>
      </c>
      <c r="C20" s="6">
        <f>VLOOKUP($A20,Fredconnect!$A$8:$H$39,otherloans!C$3+1)</f>
        <v>1946761</v>
      </c>
      <c r="D20" s="7">
        <f>VLOOKUP($A20,Fredconnect!$A$8:$H$39,D$3+1)/100</f>
        <v>3.6200000000000003E-2</v>
      </c>
      <c r="E20" s="7">
        <f>VLOOKUP($A20,Fredconnect!$A$8:$H$39,E$3+1)/100</f>
        <v>1.4999999999999999E-2</v>
      </c>
      <c r="F20" s="6">
        <f t="shared" si="0"/>
        <v>8827.2252000000008</v>
      </c>
      <c r="G20" s="6">
        <f t="shared" si="1"/>
        <v>7300.3537499999993</v>
      </c>
    </row>
    <row r="21" spans="1:7">
      <c r="A21" s="5">
        <v>39722</v>
      </c>
      <c r="B21" s="6">
        <f>VLOOKUP($A21,Fredconnect!$A$8:$H$39,otherloans!B$3+1)</f>
        <v>980241</v>
      </c>
      <c r="C21" s="6">
        <f>VLOOKUP($A21,Fredconnect!$A$8:$H$39,otherloans!C$3+1)</f>
        <v>2064032</v>
      </c>
      <c r="D21" s="7">
        <f>VLOOKUP($A21,Fredconnect!$A$8:$H$39,D$3+1)/100</f>
        <v>4.1900000000000007E-2</v>
      </c>
      <c r="E21" s="7">
        <f>VLOOKUP($A21,Fredconnect!$A$8:$H$39,E$3+1)/100</f>
        <v>1.5900000000000001E-2</v>
      </c>
      <c r="F21" s="6">
        <f t="shared" si="0"/>
        <v>10268.024475000002</v>
      </c>
      <c r="G21" s="6">
        <f t="shared" si="1"/>
        <v>8204.5272000000004</v>
      </c>
    </row>
    <row r="22" spans="1:7">
      <c r="A22" s="5">
        <v>39814</v>
      </c>
      <c r="B22" s="6">
        <f>VLOOKUP($A22,Fredconnect!$A$8:$H$39,otherloans!B$3+1)</f>
        <v>991672</v>
      </c>
      <c r="C22" s="6">
        <f>VLOOKUP($A22,Fredconnect!$A$8:$H$39,otherloans!C$3+1)</f>
        <v>2068591</v>
      </c>
      <c r="D22" s="7">
        <f>VLOOKUP($A22,Fredconnect!$A$8:$H$39,D$3+1)/100</f>
        <v>4.7899999999999998E-2</v>
      </c>
      <c r="E22" s="7">
        <f>VLOOKUP($A22,Fredconnect!$A$8:$H$39,E$3+1)/100</f>
        <v>1.8000000000000002E-2</v>
      </c>
      <c r="F22" s="6">
        <f t="shared" si="0"/>
        <v>11875.272199999999</v>
      </c>
      <c r="G22" s="6">
        <f t="shared" si="1"/>
        <v>9308.6595000000016</v>
      </c>
    </row>
    <row r="23" spans="1:7">
      <c r="A23" s="5">
        <v>39904</v>
      </c>
      <c r="B23" s="6">
        <f>VLOOKUP($A23,Fredconnect!$A$8:$H$39,otherloans!B$3+1)</f>
        <v>961096</v>
      </c>
      <c r="C23" s="6">
        <f>VLOOKUP($A23,Fredconnect!$A$8:$H$39,otherloans!C$3+1)</f>
        <v>2122148</v>
      </c>
      <c r="D23" s="7">
        <f>VLOOKUP($A23,Fredconnect!$A$8:$H$39,D$3+1)/100</f>
        <v>5.7500000000000002E-2</v>
      </c>
      <c r="E23" s="7">
        <f>VLOOKUP($A23,Fredconnect!$A$8:$H$39,E$3+1)/100</f>
        <v>2.3599999999999999E-2</v>
      </c>
      <c r="F23" s="6">
        <f t="shared" si="0"/>
        <v>13815.755000000001</v>
      </c>
      <c r="G23" s="6">
        <f t="shared" si="1"/>
        <v>12520.673199999999</v>
      </c>
    </row>
    <row r="24" spans="1:7">
      <c r="A24" s="5">
        <v>39995</v>
      </c>
      <c r="B24" s="6">
        <f>VLOOKUP($A24,Fredconnect!$A$8:$H$39,otherloans!B$3+1)</f>
        <v>954628</v>
      </c>
      <c r="C24" s="6">
        <f>VLOOKUP($A24,Fredconnect!$A$8:$H$39,otherloans!C$3+1)</f>
        <v>2087397</v>
      </c>
      <c r="D24" s="7">
        <f>VLOOKUP($A24,Fredconnect!$A$8:$H$39,D$3+1)/100</f>
        <v>5.79E-2</v>
      </c>
      <c r="E24" s="7">
        <f>VLOOKUP($A24,Fredconnect!$A$8:$H$39,E$3+1)/100</f>
        <v>2.46E-2</v>
      </c>
      <c r="F24" s="6">
        <f t="shared" si="0"/>
        <v>13818.240299999999</v>
      </c>
      <c r="G24" s="6">
        <f t="shared" si="1"/>
        <v>12837.491550000001</v>
      </c>
    </row>
    <row r="25" spans="1:7">
      <c r="A25" s="5">
        <v>40087</v>
      </c>
      <c r="B25" s="6">
        <f>VLOOKUP($A25,Fredconnect!$A$8:$H$39,otherloans!B$3+1)</f>
        <v>954425</v>
      </c>
      <c r="C25" s="6">
        <f>VLOOKUP($A25,Fredconnect!$A$8:$H$39,otherloans!C$3+1)</f>
        <v>2115933</v>
      </c>
      <c r="D25" s="7">
        <f>VLOOKUP($A25,Fredconnect!$A$8:$H$39,D$3+1)/100</f>
        <v>5.6399999999999999E-2</v>
      </c>
      <c r="E25" s="7">
        <f>VLOOKUP($A25,Fredconnect!$A$8:$H$39,E$3+1)/100</f>
        <v>2.8199999999999999E-2</v>
      </c>
      <c r="F25" s="6">
        <f t="shared" si="0"/>
        <v>13457.3925</v>
      </c>
      <c r="G25" s="6">
        <f t="shared" si="1"/>
        <v>14917.327649999999</v>
      </c>
    </row>
    <row r="26" spans="1:7">
      <c r="A26" s="5">
        <v>40179</v>
      </c>
      <c r="B26" s="6">
        <f>VLOOKUP($A26,Fredconnect!$A$8:$H$39,otherloans!B$3+1)</f>
        <v>1310182</v>
      </c>
      <c r="C26" s="6">
        <f>VLOOKUP($A26,Fredconnect!$A$8:$H$39,otherloans!C$3+1)</f>
        <v>2104645</v>
      </c>
      <c r="D26" s="7">
        <f>VLOOKUP($A26,Fredconnect!$A$8:$H$39,D$3+1)/100</f>
        <v>6.5700000000000008E-2</v>
      </c>
      <c r="E26" s="7">
        <f>VLOOKUP($A26,Fredconnect!$A$8:$H$39,E$3+1)/100</f>
        <v>2.4399999999999998E-2</v>
      </c>
      <c r="F26" s="6">
        <f t="shared" si="0"/>
        <v>21519.739350000003</v>
      </c>
      <c r="G26" s="6">
        <f t="shared" si="1"/>
        <v>12838.334499999999</v>
      </c>
    </row>
    <row r="27" spans="1:7">
      <c r="A27" s="5">
        <v>40269</v>
      </c>
      <c r="B27" s="6">
        <f>VLOOKUP($A27,Fredconnect!$A$8:$H$39,otherloans!B$3+1)</f>
        <v>1260051</v>
      </c>
      <c r="C27" s="6">
        <f>VLOOKUP($A27,Fredconnect!$A$8:$H$39,otherloans!C$3+1)</f>
        <v>2079354</v>
      </c>
      <c r="D27" s="7">
        <f>VLOOKUP($A27,Fredconnect!$A$8:$H$39,D$3+1)/100</f>
        <v>6.7900000000000002E-2</v>
      </c>
      <c r="E27" s="7">
        <f>VLOOKUP($A27,Fredconnect!$A$8:$H$39,E$3+1)/100</f>
        <v>2.1499999999999998E-2</v>
      </c>
      <c r="F27" s="6">
        <f t="shared" si="0"/>
        <v>21389.365725</v>
      </c>
      <c r="G27" s="6">
        <f t="shared" si="1"/>
        <v>11176.527749999999</v>
      </c>
    </row>
    <row r="28" spans="1:7">
      <c r="A28" s="5">
        <v>40360</v>
      </c>
      <c r="B28" s="6">
        <f>VLOOKUP($A28,Fredconnect!$A$8:$H$39,otherloans!B$3+1)</f>
        <v>1248315</v>
      </c>
      <c r="C28" s="6">
        <f>VLOOKUP($A28,Fredconnect!$A$8:$H$39,otherloans!C$3+1)</f>
        <v>2075240</v>
      </c>
      <c r="D28" s="7">
        <f>VLOOKUP($A28,Fredconnect!$A$8:$H$39,D$3+1)/100</f>
        <v>5.3200000000000004E-2</v>
      </c>
      <c r="E28" s="7">
        <f>VLOOKUP($A28,Fredconnect!$A$8:$H$39,E$3+1)/100</f>
        <v>1.9400000000000001E-2</v>
      </c>
      <c r="F28" s="6">
        <f t="shared" si="0"/>
        <v>16602.589500000002</v>
      </c>
      <c r="G28" s="6">
        <f t="shared" si="1"/>
        <v>10064.914000000001</v>
      </c>
    </row>
    <row r="29" spans="1:7">
      <c r="A29" s="5">
        <v>40452</v>
      </c>
      <c r="B29" s="6">
        <f>VLOOKUP($A29,Fredconnect!$A$8:$H$39,otherloans!B$3+1)</f>
        <v>1231930</v>
      </c>
      <c r="C29" s="6">
        <f>VLOOKUP($A29,Fredconnect!$A$8:$H$39,otherloans!C$3+1)</f>
        <v>2084917</v>
      </c>
      <c r="D29" s="7">
        <f>VLOOKUP($A29,Fredconnect!$A$8:$H$39,D$3+1)/100</f>
        <v>4.8099999999999997E-2</v>
      </c>
      <c r="E29" s="7">
        <f>VLOOKUP($A29,Fredconnect!$A$8:$H$39,E$3+1)/100</f>
        <v>1.9599999999999999E-2</v>
      </c>
      <c r="F29" s="6">
        <f t="shared" si="0"/>
        <v>14813.95825</v>
      </c>
      <c r="G29" s="6">
        <f t="shared" si="1"/>
        <v>10216.0933</v>
      </c>
    </row>
    <row r="30" spans="1:7">
      <c r="A30" s="5">
        <v>40544</v>
      </c>
      <c r="B30" s="6">
        <f>VLOOKUP($A30,Fredconnect!$A$8:$H$39,otherloans!B$3+1)</f>
        <v>1193340</v>
      </c>
      <c r="C30" s="6">
        <f>VLOOKUP($A30,Fredconnect!$A$8:$H$39,otherloans!C$3+1)</f>
        <v>2058024</v>
      </c>
      <c r="D30" s="7">
        <f>VLOOKUP($A30,Fredconnect!$A$8:$H$39,D$3+1)/100</f>
        <v>4.41E-2</v>
      </c>
      <c r="E30" s="7">
        <f>VLOOKUP($A30,Fredconnect!$A$8:$H$39,E$3+1)/100</f>
        <v>1.7000000000000001E-2</v>
      </c>
      <c r="F30" s="6">
        <f t="shared" si="0"/>
        <v>13156.5735</v>
      </c>
      <c r="G30" s="6">
        <f t="shared" si="1"/>
        <v>8746.6020000000008</v>
      </c>
    </row>
    <row r="31" spans="1:7">
      <c r="A31" s="5"/>
      <c r="B31" s="6"/>
      <c r="C31" s="6"/>
      <c r="D31" s="6"/>
    </row>
  </sheetData>
  <mergeCells count="3">
    <mergeCell ref="B2:C2"/>
    <mergeCell ref="D2:E2"/>
    <mergeCell ref="F2:G2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V41"/>
  <sheetViews>
    <sheetView workbookViewId="0"/>
  </sheetViews>
  <sheetFormatPr baseColWidth="10" defaultColWidth="8.83203125" defaultRowHeight="13" x14ac:dyDescent="0"/>
  <cols>
    <col min="11" max="11" width="2.6640625" customWidth="1"/>
    <col min="22" max="22" width="9.5" bestFit="1" customWidth="1"/>
  </cols>
  <sheetData>
    <row r="5" spans="1:21">
      <c r="B5" s="46" t="s">
        <v>62</v>
      </c>
      <c r="C5" s="46"/>
      <c r="D5" s="46"/>
      <c r="E5" s="46"/>
      <c r="F5" s="46"/>
      <c r="G5" s="46"/>
      <c r="H5" s="46"/>
      <c r="I5" s="46"/>
      <c r="J5" s="46"/>
      <c r="K5" s="9"/>
      <c r="L5" s="46" t="s">
        <v>64</v>
      </c>
      <c r="M5" s="46"/>
      <c r="N5" s="46"/>
      <c r="O5" s="46"/>
      <c r="P5" s="46"/>
      <c r="Q5" s="46"/>
      <c r="R5" s="46"/>
      <c r="S5" s="46"/>
      <c r="T5" s="46"/>
      <c r="U5" s="46"/>
    </row>
    <row r="6" spans="1:21">
      <c r="B6" t="s">
        <v>45</v>
      </c>
      <c r="C6" t="s">
        <v>46</v>
      </c>
      <c r="D6" t="s">
        <v>47</v>
      </c>
      <c r="E6" t="s">
        <v>55</v>
      </c>
      <c r="F6" t="s">
        <v>48</v>
      </c>
      <c r="G6" t="s">
        <v>49</v>
      </c>
      <c r="H6" t="s">
        <v>50</v>
      </c>
      <c r="I6" t="s">
        <v>51</v>
      </c>
      <c r="J6" t="s">
        <v>52</v>
      </c>
    </row>
    <row r="7" spans="1:21">
      <c r="B7" s="46" t="s">
        <v>43</v>
      </c>
      <c r="C7" s="46"/>
      <c r="D7" s="46"/>
      <c r="E7" s="46" t="s">
        <v>56</v>
      </c>
      <c r="F7" s="46"/>
      <c r="G7" s="46"/>
      <c r="H7" s="46"/>
      <c r="I7" s="46"/>
      <c r="J7" s="46"/>
      <c r="K7" s="9"/>
      <c r="L7" s="46" t="s">
        <v>43</v>
      </c>
      <c r="M7" s="46"/>
      <c r="N7" s="46"/>
      <c r="O7" s="46" t="s">
        <v>56</v>
      </c>
      <c r="P7" s="46"/>
      <c r="Q7" s="46"/>
      <c r="R7" s="46"/>
      <c r="S7" s="46"/>
      <c r="T7" s="46"/>
      <c r="U7" t="s">
        <v>65</v>
      </c>
    </row>
    <row r="8" spans="1:21">
      <c r="B8" t="s">
        <v>44</v>
      </c>
      <c r="C8" t="s">
        <v>53</v>
      </c>
      <c r="D8" t="s">
        <v>54</v>
      </c>
      <c r="E8" t="s">
        <v>57</v>
      </c>
      <c r="F8" t="s">
        <v>58</v>
      </c>
      <c r="G8" t="s">
        <v>54</v>
      </c>
      <c r="H8" t="s">
        <v>59</v>
      </c>
      <c r="I8" t="s">
        <v>60</v>
      </c>
      <c r="J8" t="s">
        <v>61</v>
      </c>
      <c r="L8" t="s">
        <v>44</v>
      </c>
      <c r="M8" t="s">
        <v>53</v>
      </c>
      <c r="N8" t="s">
        <v>54</v>
      </c>
      <c r="O8" t="s">
        <v>57</v>
      </c>
      <c r="P8" t="s">
        <v>58</v>
      </c>
      <c r="Q8" t="s">
        <v>54</v>
      </c>
      <c r="R8" t="s">
        <v>59</v>
      </c>
      <c r="S8" t="s">
        <v>60</v>
      </c>
      <c r="T8" t="s">
        <v>61</v>
      </c>
    </row>
    <row r="9" spans="1:21">
      <c r="A9" s="5">
        <v>38626</v>
      </c>
    </row>
    <row r="10" spans="1:21">
      <c r="A10" s="5">
        <v>38718</v>
      </c>
      <c r="B10" s="6">
        <v>30080</v>
      </c>
      <c r="C10" s="6">
        <v>29708</v>
      </c>
      <c r="D10" s="6">
        <v>34640</v>
      </c>
      <c r="E10" s="6">
        <v>290516</v>
      </c>
      <c r="F10" s="6">
        <v>18184</v>
      </c>
      <c r="G10" s="6">
        <v>4976</v>
      </c>
      <c r="H10" s="6">
        <v>9992</v>
      </c>
      <c r="I10" s="6">
        <v>2936</v>
      </c>
      <c r="J10" s="6">
        <v>14264</v>
      </c>
      <c r="K10" s="6"/>
      <c r="L10" s="6">
        <f>B10*inclusion!B$18</f>
        <v>29075.328000000001</v>
      </c>
      <c r="M10" s="6">
        <f>C10*inclusion!C$18</f>
        <v>27739.844999999998</v>
      </c>
      <c r="N10" s="6">
        <f>D10*inclusion!D$18</f>
        <v>30359.363027093899</v>
      </c>
      <c r="O10" s="6">
        <f>E10*inclusion!E$18</f>
        <v>80337.468755248177</v>
      </c>
      <c r="P10" s="6">
        <f>F10*inclusion!F$18</f>
        <v>16979.309999999998</v>
      </c>
      <c r="Q10" s="6">
        <f>G10*inclusion!G$18</f>
        <v>4361.0909475409708</v>
      </c>
      <c r="R10" s="6">
        <f>H10*inclusion!H$18</f>
        <v>9330.0299999999988</v>
      </c>
      <c r="S10" s="6">
        <f>I10*inclusion!I$18</f>
        <v>2741.49</v>
      </c>
      <c r="T10" s="6">
        <f>J10*inclusion!J$18</f>
        <v>13319.01</v>
      </c>
      <c r="U10" s="6">
        <f>SUM(L10:T10)</f>
        <v>214242.93572988303</v>
      </c>
    </row>
    <row r="11" spans="1:21">
      <c r="A11" s="5">
        <v>38808</v>
      </c>
      <c r="B11" s="6">
        <v>29864</v>
      </c>
      <c r="C11" s="6">
        <v>29560</v>
      </c>
      <c r="D11" s="6">
        <v>34728</v>
      </c>
      <c r="E11" s="6">
        <v>296068</v>
      </c>
      <c r="F11" s="6">
        <v>18200</v>
      </c>
      <c r="G11" s="6">
        <v>5280</v>
      </c>
      <c r="H11" s="6">
        <v>10280</v>
      </c>
      <c r="I11" s="6">
        <v>3056</v>
      </c>
      <c r="J11" s="6">
        <v>14276</v>
      </c>
      <c r="K11" s="6"/>
      <c r="L11" s="6">
        <f>B11*inclusion!B$18</f>
        <v>28866.542400000002</v>
      </c>
      <c r="M11" s="6">
        <f>C11*inclusion!C$18</f>
        <v>27601.649999999998</v>
      </c>
      <c r="N11" s="6">
        <f>D11*inclusion!D$18</f>
        <v>30436.488429703146</v>
      </c>
      <c r="O11" s="6">
        <f>E11*inclusion!E$18</f>
        <v>81872.783941086964</v>
      </c>
      <c r="P11" s="6">
        <f>F11*inclusion!F$18</f>
        <v>16994.25</v>
      </c>
      <c r="Q11" s="6">
        <f>G11*inclusion!G$18</f>
        <v>4627.5241565547285</v>
      </c>
      <c r="R11" s="6">
        <f>H11*inclusion!H$18</f>
        <v>9598.9499999999989</v>
      </c>
      <c r="S11" s="6">
        <f>I11*inclusion!I$18</f>
        <v>2853.54</v>
      </c>
      <c r="T11" s="6">
        <f>J11*inclusion!J$18</f>
        <v>13330.215</v>
      </c>
      <c r="U11" s="6">
        <f t="shared" ref="U11:U31" si="0">SUM(L11:T11)</f>
        <v>216181.94392734484</v>
      </c>
    </row>
    <row r="12" spans="1:21">
      <c r="A12" s="5">
        <v>38899</v>
      </c>
      <c r="B12" s="6">
        <v>30840</v>
      </c>
      <c r="C12" s="6">
        <v>29036</v>
      </c>
      <c r="D12" s="6">
        <v>34560</v>
      </c>
      <c r="E12" s="6">
        <v>307960</v>
      </c>
      <c r="F12" s="6">
        <v>18232</v>
      </c>
      <c r="G12" s="6">
        <v>5288</v>
      </c>
      <c r="H12" s="6">
        <v>10584</v>
      </c>
      <c r="I12" s="6">
        <v>3060</v>
      </c>
      <c r="J12" s="6">
        <v>14328</v>
      </c>
      <c r="K12" s="6"/>
      <c r="L12" s="6">
        <f>B12*inclusion!B$18</f>
        <v>29809.944</v>
      </c>
      <c r="M12" s="6">
        <f>C12*inclusion!C$18</f>
        <v>27112.364999999998</v>
      </c>
      <c r="N12" s="6">
        <f>D12*inclusion!D$18</f>
        <v>30289.249024721859</v>
      </c>
      <c r="O12" s="6">
        <f>E12*inclusion!E$18</f>
        <v>85161.322880207052</v>
      </c>
      <c r="P12" s="6">
        <f>F12*inclusion!F$18</f>
        <v>17024.13</v>
      </c>
      <c r="Q12" s="6">
        <f>G12*inclusion!G$18</f>
        <v>4634.5355567919323</v>
      </c>
      <c r="R12" s="6">
        <f>H12*inclusion!H$18</f>
        <v>9882.81</v>
      </c>
      <c r="S12" s="6">
        <f>I12*inclusion!I$18</f>
        <v>2857.2750000000001</v>
      </c>
      <c r="T12" s="6">
        <f>J12*inclusion!J$18</f>
        <v>13378.77</v>
      </c>
      <c r="U12" s="6">
        <f t="shared" si="0"/>
        <v>220150.40146172082</v>
      </c>
    </row>
    <row r="13" spans="1:21">
      <c r="A13" s="5">
        <v>38991</v>
      </c>
      <c r="B13" s="6">
        <v>30684</v>
      </c>
      <c r="C13" s="6">
        <v>29256</v>
      </c>
      <c r="D13" s="6">
        <v>34764</v>
      </c>
      <c r="E13" s="6">
        <v>301628</v>
      </c>
      <c r="F13" s="6">
        <v>18288</v>
      </c>
      <c r="G13" s="6">
        <v>5332</v>
      </c>
      <c r="H13" s="6">
        <v>10892</v>
      </c>
      <c r="I13" s="6">
        <v>2932</v>
      </c>
      <c r="J13" s="6">
        <v>14472</v>
      </c>
      <c r="K13" s="6"/>
      <c r="L13" s="6">
        <f>B13*inclusion!B$18</f>
        <v>29659.154399999999</v>
      </c>
      <c r="M13" s="6">
        <f>C13*inclusion!C$18</f>
        <v>27317.79</v>
      </c>
      <c r="N13" s="6">
        <f>D13*inclusion!D$18</f>
        <v>30468.039730770564</v>
      </c>
      <c r="O13" s="6">
        <f>E13*inclusion!E$18</f>
        <v>83410.311396645964</v>
      </c>
      <c r="P13" s="6">
        <f>F13*inclusion!F$18</f>
        <v>17076.419999999998</v>
      </c>
      <c r="Q13" s="6">
        <f>G13*inclusion!G$18</f>
        <v>4673.0982580965556</v>
      </c>
      <c r="R13" s="6">
        <f>H13*inclusion!H$18</f>
        <v>10170.404999999999</v>
      </c>
      <c r="S13" s="6">
        <f>I13*inclusion!I$18</f>
        <v>2737.7550000000001</v>
      </c>
      <c r="T13" s="6">
        <f>J13*inclusion!J$18</f>
        <v>13513.23</v>
      </c>
      <c r="U13" s="6">
        <f t="shared" si="0"/>
        <v>219026.20378551306</v>
      </c>
    </row>
    <row r="14" spans="1:21">
      <c r="A14" s="5">
        <v>39083</v>
      </c>
      <c r="B14" s="6">
        <v>31724</v>
      </c>
      <c r="C14" s="6">
        <v>30456</v>
      </c>
      <c r="D14" s="6">
        <v>35936</v>
      </c>
      <c r="E14" s="6">
        <v>331940</v>
      </c>
      <c r="F14" s="6">
        <v>18204</v>
      </c>
      <c r="G14" s="6">
        <v>5356</v>
      </c>
      <c r="H14" s="6">
        <v>11468</v>
      </c>
      <c r="I14" s="6">
        <v>2826</v>
      </c>
      <c r="J14" s="6">
        <v>14484</v>
      </c>
      <c r="K14" s="6"/>
      <c r="L14" s="6">
        <f>B14*inclusion!B$18</f>
        <v>30664.418399999999</v>
      </c>
      <c r="M14" s="6">
        <f>C14*inclusion!C$18</f>
        <v>28438.289999999997</v>
      </c>
      <c r="N14" s="6">
        <f>D14*inclusion!D$18</f>
        <v>31495.20986552097</v>
      </c>
      <c r="O14" s="6">
        <f>E14*inclusion!E$18</f>
        <v>91792.601366592833</v>
      </c>
      <c r="P14" s="6">
        <f>F14*inclusion!F$18</f>
        <v>16997.985000000001</v>
      </c>
      <c r="Q14" s="6">
        <f>G14*inclusion!G$18</f>
        <v>4694.1324588081679</v>
      </c>
      <c r="R14" s="6">
        <f>H14*inclusion!H$18</f>
        <v>10708.244999999999</v>
      </c>
      <c r="S14" s="6">
        <f>I14*inclusion!I$18</f>
        <v>2638.7774999999997</v>
      </c>
      <c r="T14" s="6">
        <f>J14*inclusion!J$18</f>
        <v>13524.434999999999</v>
      </c>
      <c r="U14" s="6">
        <f t="shared" si="0"/>
        <v>230954.09459092194</v>
      </c>
    </row>
    <row r="15" spans="1:21">
      <c r="A15" s="5">
        <v>39173</v>
      </c>
      <c r="B15" s="6">
        <v>30964</v>
      </c>
      <c r="C15" s="6">
        <v>30400</v>
      </c>
      <c r="D15" s="6">
        <v>36480</v>
      </c>
      <c r="E15" s="6">
        <v>313756</v>
      </c>
      <c r="F15" s="6">
        <v>18232</v>
      </c>
      <c r="G15" s="6">
        <v>5392</v>
      </c>
      <c r="H15" s="6">
        <v>11932</v>
      </c>
      <c r="I15" s="6">
        <v>2705</v>
      </c>
      <c r="J15" s="6">
        <v>14628</v>
      </c>
      <c r="K15" s="6"/>
      <c r="L15" s="6">
        <f>B15*inclusion!B$18</f>
        <v>29929.8024</v>
      </c>
      <c r="M15" s="6">
        <f>C15*inclusion!C$18</f>
        <v>28386</v>
      </c>
      <c r="N15" s="6">
        <f>D15*inclusion!D$18</f>
        <v>31971.985081650851</v>
      </c>
      <c r="O15" s="6">
        <f>E15*inclusion!E$18</f>
        <v>86764.1122925128</v>
      </c>
      <c r="P15" s="6">
        <f>F15*inclusion!F$18</f>
        <v>17024.13</v>
      </c>
      <c r="Q15" s="6">
        <f>G15*inclusion!G$18</f>
        <v>4725.6837598755865</v>
      </c>
      <c r="R15" s="6">
        <f>H15*inclusion!H$18</f>
        <v>11141.504999999999</v>
      </c>
      <c r="S15" s="6">
        <f>I15*inclusion!I$18</f>
        <v>2525.7937499999998</v>
      </c>
      <c r="T15" s="6">
        <f>J15*inclusion!J$18</f>
        <v>13658.895</v>
      </c>
      <c r="U15" s="6">
        <f t="shared" si="0"/>
        <v>226127.90728403928</v>
      </c>
    </row>
    <row r="16" spans="1:21">
      <c r="A16" s="5">
        <v>39264</v>
      </c>
      <c r="B16" s="6">
        <v>33200</v>
      </c>
      <c r="C16" s="6">
        <v>30300</v>
      </c>
      <c r="D16" s="6">
        <v>37224</v>
      </c>
      <c r="E16" s="6">
        <v>318768</v>
      </c>
      <c r="F16" s="6">
        <v>18352</v>
      </c>
      <c r="G16" s="6">
        <v>5424</v>
      </c>
      <c r="H16" s="6">
        <v>12268</v>
      </c>
      <c r="I16" s="6">
        <v>2637</v>
      </c>
      <c r="J16" s="6">
        <v>14812</v>
      </c>
      <c r="K16" s="6"/>
      <c r="L16" s="6">
        <f>B16*inclusion!B$18</f>
        <v>32091.119999999999</v>
      </c>
      <c r="M16" s="6">
        <f>C16*inclusion!C$18</f>
        <v>28292.625</v>
      </c>
      <c r="N16" s="6">
        <f>D16*inclusion!D$18</f>
        <v>32624.045303710835</v>
      </c>
      <c r="O16" s="6">
        <f>E16*inclusion!E$18</f>
        <v>88150.099272236141</v>
      </c>
      <c r="P16" s="6">
        <f>F16*inclusion!F$18</f>
        <v>17136.18</v>
      </c>
      <c r="Q16" s="6">
        <f>G16*inclusion!G$18</f>
        <v>4753.7293608244026</v>
      </c>
      <c r="R16" s="6">
        <f>H16*inclusion!H$18</f>
        <v>11455.244999999999</v>
      </c>
      <c r="S16" s="6">
        <f>I16*inclusion!I$18</f>
        <v>2462.2987499999999</v>
      </c>
      <c r="T16" s="6">
        <f>J16*inclusion!J$18</f>
        <v>13830.705</v>
      </c>
      <c r="U16" s="6">
        <f t="shared" si="0"/>
        <v>230796.04768677132</v>
      </c>
    </row>
    <row r="17" spans="1:21">
      <c r="A17" s="5">
        <v>39356</v>
      </c>
      <c r="B17" s="6">
        <v>35068</v>
      </c>
      <c r="C17" s="6">
        <v>32524</v>
      </c>
      <c r="D17" s="6">
        <v>37880</v>
      </c>
      <c r="E17" s="6">
        <v>331792</v>
      </c>
      <c r="F17" s="6">
        <v>18548</v>
      </c>
      <c r="G17" s="6">
        <v>5448</v>
      </c>
      <c r="H17" s="6">
        <v>12472</v>
      </c>
      <c r="I17" s="6">
        <v>2756</v>
      </c>
      <c r="J17" s="6">
        <v>15096</v>
      </c>
      <c r="K17" s="6"/>
      <c r="L17" s="6">
        <f>B17*inclusion!B$18</f>
        <v>33896.728799999997</v>
      </c>
      <c r="M17" s="6">
        <f>C17*inclusion!C$18</f>
        <v>30369.285</v>
      </c>
      <c r="N17" s="6">
        <f>D17*inclusion!D$18</f>
        <v>33198.980123161571</v>
      </c>
      <c r="O17" s="6">
        <f>E17*inclusion!E$18</f>
        <v>91751.674376768598</v>
      </c>
      <c r="P17" s="6">
        <f>F17*inclusion!F$18</f>
        <v>17319.195</v>
      </c>
      <c r="Q17" s="6">
        <f>G17*inclusion!G$18</f>
        <v>4774.763561536015</v>
      </c>
      <c r="R17" s="6">
        <f>H17*inclusion!H$18</f>
        <v>11645.73</v>
      </c>
      <c r="S17" s="6">
        <f>I17*inclusion!I$18</f>
        <v>2573.415</v>
      </c>
      <c r="T17" s="6">
        <f>J17*inclusion!J$18</f>
        <v>14095.89</v>
      </c>
      <c r="U17" s="6">
        <f t="shared" si="0"/>
        <v>239625.66186146619</v>
      </c>
    </row>
    <row r="18" spans="1:21">
      <c r="A18" s="5">
        <v>39448</v>
      </c>
      <c r="B18" s="6">
        <v>36748</v>
      </c>
      <c r="C18" s="6">
        <v>33300</v>
      </c>
      <c r="D18" s="6">
        <v>37688</v>
      </c>
      <c r="E18" s="6">
        <v>331352</v>
      </c>
      <c r="F18" s="6">
        <v>18788</v>
      </c>
      <c r="G18" s="6">
        <v>5436</v>
      </c>
      <c r="H18" s="6">
        <v>12812</v>
      </c>
      <c r="I18" s="6">
        <v>3048</v>
      </c>
      <c r="J18" s="6">
        <v>15576</v>
      </c>
      <c r="K18" s="6"/>
      <c r="L18" s="6">
        <f>B18*inclusion!B$18</f>
        <v>35520.616800000003</v>
      </c>
      <c r="M18" s="6">
        <f>C18*inclusion!C$18</f>
        <v>31093.875</v>
      </c>
      <c r="N18" s="6">
        <f>D18*inclusion!D$18</f>
        <v>33030.706517468672</v>
      </c>
      <c r="O18" s="6">
        <f>E18*inclusion!E$18</f>
        <v>91629.999542156016</v>
      </c>
      <c r="P18" s="6">
        <f>F18*inclusion!F$18</f>
        <v>17543.294999999998</v>
      </c>
      <c r="Q18" s="6">
        <f>G18*inclusion!G$18</f>
        <v>4764.2464611802088</v>
      </c>
      <c r="R18" s="6">
        <f>H18*inclusion!H$18</f>
        <v>11963.205</v>
      </c>
      <c r="S18" s="6">
        <f>I18*inclusion!I$18</f>
        <v>2846.0699999999997</v>
      </c>
      <c r="T18" s="6">
        <f>J18*inclusion!J$18</f>
        <v>14544.09</v>
      </c>
      <c r="U18" s="6">
        <f t="shared" si="0"/>
        <v>242936.10432080488</v>
      </c>
    </row>
    <row r="19" spans="1:21">
      <c r="A19" s="5">
        <v>39539</v>
      </c>
      <c r="B19" s="6">
        <v>37816</v>
      </c>
      <c r="C19" s="6">
        <v>34244</v>
      </c>
      <c r="D19" s="6">
        <v>38460</v>
      </c>
      <c r="E19" s="6">
        <v>338424</v>
      </c>
      <c r="F19" s="6">
        <v>19060</v>
      </c>
      <c r="G19" s="6">
        <v>5460</v>
      </c>
      <c r="H19" s="6">
        <v>13304</v>
      </c>
      <c r="I19" s="6">
        <v>3192</v>
      </c>
      <c r="J19" s="6">
        <v>16024</v>
      </c>
      <c r="K19" s="6"/>
      <c r="L19" s="6">
        <f>B19*inclusion!B$18</f>
        <v>36552.945599999999</v>
      </c>
      <c r="M19" s="6">
        <f>C19*inclusion!C$18</f>
        <v>31975.334999999999</v>
      </c>
      <c r="N19" s="6">
        <f>D19*inclusion!D$18</f>
        <v>33707.306640358875</v>
      </c>
      <c r="O19" s="6">
        <f>E19*inclusion!E$18</f>
        <v>93585.645974838262</v>
      </c>
      <c r="P19" s="6">
        <f>F19*inclusion!F$18</f>
        <v>17797.274999999998</v>
      </c>
      <c r="Q19" s="6">
        <f>G19*inclusion!G$18</f>
        <v>4785.2806618918212</v>
      </c>
      <c r="R19" s="6">
        <f>H19*inclusion!H$18</f>
        <v>12422.609999999999</v>
      </c>
      <c r="S19" s="6">
        <f>I19*inclusion!I$18</f>
        <v>2980.5299999999997</v>
      </c>
      <c r="T19" s="6">
        <f>J19*inclusion!J$18</f>
        <v>14962.41</v>
      </c>
      <c r="U19" s="6">
        <f t="shared" si="0"/>
        <v>248769.33887708894</v>
      </c>
    </row>
    <row r="20" spans="1:21">
      <c r="A20" s="5">
        <v>39630</v>
      </c>
      <c r="B20" s="6">
        <v>57980</v>
      </c>
      <c r="C20" s="6">
        <v>37024</v>
      </c>
      <c r="D20" s="6">
        <v>38868</v>
      </c>
      <c r="E20" s="6">
        <v>340928</v>
      </c>
      <c r="F20" s="6">
        <v>19392</v>
      </c>
      <c r="G20" s="6">
        <v>5448</v>
      </c>
      <c r="H20" s="6">
        <v>13788</v>
      </c>
      <c r="I20" s="6">
        <v>3472</v>
      </c>
      <c r="J20" s="6">
        <v>16388</v>
      </c>
      <c r="K20" s="6"/>
      <c r="L20" s="6">
        <f>B20*inclusion!B$18</f>
        <v>56043.468000000001</v>
      </c>
      <c r="M20" s="6">
        <f>C20*inclusion!C$18</f>
        <v>34571.159999999996</v>
      </c>
      <c r="N20" s="6">
        <f>D20*inclusion!D$18</f>
        <v>34064.888052456285</v>
      </c>
      <c r="O20" s="6">
        <f>E20*inclusion!E$18</f>
        <v>94278.086397269872</v>
      </c>
      <c r="P20" s="6">
        <f>F20*inclusion!F$18</f>
        <v>18107.28</v>
      </c>
      <c r="Q20" s="6">
        <f>G20*inclusion!G$18</f>
        <v>4774.763561536015</v>
      </c>
      <c r="R20" s="6">
        <f>H20*inclusion!H$18</f>
        <v>12874.545</v>
      </c>
      <c r="S20" s="6">
        <f>I20*inclusion!I$18</f>
        <v>3241.98</v>
      </c>
      <c r="T20" s="6">
        <f>J20*inclusion!J$18</f>
        <v>15302.295</v>
      </c>
      <c r="U20" s="6">
        <f t="shared" si="0"/>
        <v>273258.46601126215</v>
      </c>
    </row>
    <row r="21" spans="1:21">
      <c r="A21" s="5">
        <v>39722</v>
      </c>
      <c r="B21" s="6">
        <v>71192</v>
      </c>
      <c r="C21" s="6">
        <v>43568</v>
      </c>
      <c r="D21" s="6">
        <v>39584</v>
      </c>
      <c r="E21" s="6">
        <v>342228</v>
      </c>
      <c r="F21" s="6">
        <v>19780</v>
      </c>
      <c r="G21" s="6">
        <v>5464</v>
      </c>
      <c r="H21" s="6">
        <v>13196</v>
      </c>
      <c r="I21" s="6">
        <v>3960</v>
      </c>
      <c r="J21" s="6">
        <v>16604</v>
      </c>
      <c r="K21" s="6"/>
      <c r="L21" s="6">
        <f>B21*inclusion!B$18</f>
        <v>68814.1872</v>
      </c>
      <c r="M21" s="6">
        <f>C21*inclusion!C$18</f>
        <v>40681.619999999995</v>
      </c>
      <c r="N21" s="6">
        <f>D21*inclusion!D$18</f>
        <v>34692.408373686056</v>
      </c>
      <c r="O21" s="6">
        <f>E21*inclusion!E$18</f>
        <v>94637.58022680704</v>
      </c>
      <c r="P21" s="6">
        <f>F21*inclusion!F$18</f>
        <v>18469.575000000001</v>
      </c>
      <c r="Q21" s="6">
        <f>G21*inclusion!G$18</f>
        <v>4788.7863620104235</v>
      </c>
      <c r="R21" s="6">
        <f>H21*inclusion!H$18</f>
        <v>12321.764999999999</v>
      </c>
      <c r="S21" s="6">
        <f>I21*inclusion!I$18</f>
        <v>3697.65</v>
      </c>
      <c r="T21" s="6">
        <f>J21*inclusion!J$18</f>
        <v>15503.984999999999</v>
      </c>
      <c r="U21" s="6">
        <f t="shared" si="0"/>
        <v>293607.55716250354</v>
      </c>
    </row>
    <row r="22" spans="1:21">
      <c r="A22" s="5">
        <v>39814</v>
      </c>
      <c r="B22" s="6">
        <v>101080</v>
      </c>
      <c r="C22" s="6">
        <v>44388</v>
      </c>
      <c r="D22" s="6">
        <v>41376</v>
      </c>
      <c r="E22" s="6">
        <v>362040</v>
      </c>
      <c r="F22" s="6">
        <v>20188</v>
      </c>
      <c r="G22" s="6">
        <v>5476</v>
      </c>
      <c r="H22" s="6">
        <v>13012</v>
      </c>
      <c r="I22" s="6">
        <v>4396</v>
      </c>
      <c r="J22" s="6">
        <v>16748</v>
      </c>
      <c r="K22" s="6"/>
      <c r="L22" s="6">
        <f>B22*inclusion!B$18</f>
        <v>97703.928</v>
      </c>
      <c r="M22" s="6">
        <f>C22*inclusion!C$18</f>
        <v>41447.294999999998</v>
      </c>
      <c r="N22" s="6">
        <f>D22*inclusion!D$18</f>
        <v>36262.962026819783</v>
      </c>
      <c r="O22" s="6">
        <f>E22*inclusion!E$18</f>
        <v>100116.26618895362</v>
      </c>
      <c r="P22" s="6">
        <f>F22*inclusion!F$18</f>
        <v>18850.544999999998</v>
      </c>
      <c r="Q22" s="6">
        <f>G22*inclusion!G$18</f>
        <v>4799.3034623662297</v>
      </c>
      <c r="R22" s="6">
        <f>H22*inclusion!H$18</f>
        <v>12149.955</v>
      </c>
      <c r="S22" s="6">
        <f>I22*inclusion!I$18</f>
        <v>4104.7649999999994</v>
      </c>
      <c r="T22" s="6">
        <f>J22*inclusion!J$18</f>
        <v>15638.445</v>
      </c>
      <c r="U22" s="6">
        <f t="shared" si="0"/>
        <v>331073.46467813966</v>
      </c>
    </row>
    <row r="23" spans="1:21">
      <c r="A23" s="5">
        <v>39904</v>
      </c>
      <c r="B23" s="6">
        <v>127924</v>
      </c>
      <c r="C23" s="6">
        <v>55008</v>
      </c>
      <c r="D23" s="6">
        <v>42216</v>
      </c>
      <c r="E23" s="6">
        <v>373292</v>
      </c>
      <c r="F23" s="6">
        <v>20512</v>
      </c>
      <c r="G23" s="6">
        <v>5188</v>
      </c>
      <c r="H23" s="6">
        <v>13036</v>
      </c>
      <c r="I23" s="6">
        <v>5016</v>
      </c>
      <c r="J23" s="6">
        <v>16816</v>
      </c>
      <c r="K23" s="6"/>
      <c r="L23" s="6">
        <f>B23*inclusion!B$18</f>
        <v>123651.33840000001</v>
      </c>
      <c r="M23" s="6">
        <f>C23*inclusion!C$18</f>
        <v>51363.72</v>
      </c>
      <c r="N23" s="6">
        <f>D23*inclusion!D$18</f>
        <v>36999.159051726216</v>
      </c>
      <c r="O23" s="6">
        <f>E23*inclusion!E$18</f>
        <v>103227.82355045542</v>
      </c>
      <c r="P23" s="6">
        <f>F23*inclusion!F$18</f>
        <v>19153.079999999998</v>
      </c>
      <c r="Q23" s="6">
        <f>G23*inclusion!G$18</f>
        <v>4546.8930538268805</v>
      </c>
      <c r="R23" s="6">
        <f>H23*inclusion!H$18</f>
        <v>12172.365</v>
      </c>
      <c r="S23" s="6">
        <f>I23*inclusion!I$18</f>
        <v>4683.6899999999996</v>
      </c>
      <c r="T23" s="6">
        <f>J23*inclusion!J$18</f>
        <v>15701.939999999999</v>
      </c>
      <c r="U23" s="6">
        <f t="shared" si="0"/>
        <v>371500.00905600854</v>
      </c>
    </row>
    <row r="24" spans="1:21">
      <c r="A24" s="5">
        <v>39995</v>
      </c>
      <c r="B24" s="6">
        <v>144768</v>
      </c>
      <c r="C24" s="6">
        <v>58192</v>
      </c>
      <c r="D24" s="6">
        <v>43044</v>
      </c>
      <c r="E24" s="6">
        <v>383100</v>
      </c>
      <c r="F24" s="6">
        <v>20716</v>
      </c>
      <c r="G24" s="6">
        <v>4752</v>
      </c>
      <c r="H24" s="6">
        <v>13220</v>
      </c>
      <c r="I24" s="6">
        <v>5484</v>
      </c>
      <c r="J24" s="6">
        <v>16900</v>
      </c>
      <c r="K24" s="6"/>
      <c r="L24" s="6">
        <f>B24*inclusion!B$18</f>
        <v>139932.7488</v>
      </c>
      <c r="M24" s="6">
        <f>C24*inclusion!C$18</f>
        <v>54336.78</v>
      </c>
      <c r="N24" s="6">
        <f>D24*inclusion!D$18</f>
        <v>37724.838976276842</v>
      </c>
      <c r="O24" s="6">
        <f>E24*inclusion!E$18</f>
        <v>105940.0662274559</v>
      </c>
      <c r="P24" s="6">
        <f>F24*inclusion!F$18</f>
        <v>19343.564999999999</v>
      </c>
      <c r="Q24" s="6">
        <f>G24*inclusion!G$18</f>
        <v>4164.7717408992557</v>
      </c>
      <c r="R24" s="6">
        <f>H24*inclusion!H$18</f>
        <v>12344.174999999999</v>
      </c>
      <c r="S24" s="6">
        <f>I24*inclusion!I$18</f>
        <v>5120.6849999999995</v>
      </c>
      <c r="T24" s="6">
        <f>J24*inclusion!J$18</f>
        <v>15780.375</v>
      </c>
      <c r="U24" s="6">
        <f t="shared" si="0"/>
        <v>394688.00574463198</v>
      </c>
    </row>
    <row r="25" spans="1:21">
      <c r="A25" s="5">
        <v>40087</v>
      </c>
      <c r="B25" s="6">
        <v>148676</v>
      </c>
      <c r="C25" s="6">
        <v>61464</v>
      </c>
      <c r="D25" s="6">
        <v>43852</v>
      </c>
      <c r="E25" s="6">
        <v>378024</v>
      </c>
      <c r="F25" s="6">
        <v>20800</v>
      </c>
      <c r="G25" s="6">
        <v>4660</v>
      </c>
      <c r="H25" s="6">
        <v>13536</v>
      </c>
      <c r="I25" s="6">
        <v>5364</v>
      </c>
      <c r="J25" s="6">
        <v>16940</v>
      </c>
      <c r="K25" s="6"/>
      <c r="L25" s="6">
        <f>B25*inclusion!B$18</f>
        <v>143710.22159999999</v>
      </c>
      <c r="M25" s="6">
        <f>C25*inclusion!C$18</f>
        <v>57392.009999999995</v>
      </c>
      <c r="N25" s="6">
        <f>D25*inclusion!D$18</f>
        <v>38432.990400234456</v>
      </c>
      <c r="O25" s="6">
        <f>E25*inclusion!E$18</f>
        <v>104536.38108997075</v>
      </c>
      <c r="P25" s="6">
        <f>F25*inclusion!F$18</f>
        <v>19422</v>
      </c>
      <c r="Q25" s="6">
        <f>G25*inclusion!G$18</f>
        <v>4084.1406381714078</v>
      </c>
      <c r="R25" s="6">
        <f>H25*inclusion!H$18</f>
        <v>12639.24</v>
      </c>
      <c r="S25" s="6">
        <f>I25*inclusion!I$18</f>
        <v>5008.6350000000002</v>
      </c>
      <c r="T25" s="6">
        <f>J25*inclusion!J$18</f>
        <v>15817.725</v>
      </c>
      <c r="U25" s="6">
        <f t="shared" si="0"/>
        <v>401043.34372837661</v>
      </c>
    </row>
    <row r="26" spans="1:21">
      <c r="A26" s="5">
        <v>40179</v>
      </c>
      <c r="B26" s="6">
        <v>152756</v>
      </c>
      <c r="C26" s="6">
        <v>63436</v>
      </c>
      <c r="D26" s="6">
        <v>43200</v>
      </c>
      <c r="E26" s="6">
        <v>386632</v>
      </c>
      <c r="F26" s="6">
        <v>20780</v>
      </c>
      <c r="G26" s="6">
        <v>4624</v>
      </c>
      <c r="H26" s="6">
        <v>14068</v>
      </c>
      <c r="I26" s="6">
        <v>5124</v>
      </c>
      <c r="J26" s="6">
        <v>16960</v>
      </c>
      <c r="K26" s="6"/>
      <c r="L26" s="6">
        <f>B26*inclusion!B$18</f>
        <v>147653.94959999999</v>
      </c>
      <c r="M26" s="6">
        <f>C26*inclusion!C$18</f>
        <v>59233.364999999998</v>
      </c>
      <c r="N26" s="6">
        <f>D26*inclusion!D$18</f>
        <v>37861.561280902322</v>
      </c>
      <c r="O26" s="6">
        <f>E26*inclusion!E$18</f>
        <v>106916.78330893691</v>
      </c>
      <c r="P26" s="6">
        <f>F26*inclusion!F$18</f>
        <v>19403.325000000001</v>
      </c>
      <c r="Q26" s="6">
        <f>G26*inclusion!G$18</f>
        <v>4052.5893371039892</v>
      </c>
      <c r="R26" s="6">
        <f>H26*inclusion!H$18</f>
        <v>13135.994999999999</v>
      </c>
      <c r="S26" s="6">
        <f>I26*inclusion!I$18</f>
        <v>4784.5349999999999</v>
      </c>
      <c r="T26" s="6">
        <f>J26*inclusion!J$18</f>
        <v>15836.4</v>
      </c>
      <c r="U26" s="6">
        <f t="shared" si="0"/>
        <v>408878.50352694321</v>
      </c>
    </row>
    <row r="27" spans="1:21">
      <c r="A27" s="5">
        <v>40269</v>
      </c>
      <c r="B27" s="6">
        <v>137392</v>
      </c>
      <c r="C27" s="6">
        <v>65136</v>
      </c>
      <c r="D27" s="6">
        <v>43844</v>
      </c>
      <c r="E27" s="6">
        <v>389784</v>
      </c>
      <c r="F27" s="6">
        <v>20724</v>
      </c>
      <c r="G27" s="6">
        <v>4636</v>
      </c>
      <c r="H27" s="6">
        <v>14548</v>
      </c>
      <c r="I27" s="6">
        <v>4796</v>
      </c>
      <c r="J27" s="6">
        <v>16956</v>
      </c>
      <c r="K27" s="6"/>
      <c r="L27" s="6">
        <f>B27*inclusion!B$18</f>
        <v>132803.1072</v>
      </c>
      <c r="M27" s="6">
        <f>C27*inclusion!C$18</f>
        <v>60820.74</v>
      </c>
      <c r="N27" s="6">
        <f>D27*inclusion!D$18</f>
        <v>38425.978999997256</v>
      </c>
      <c r="O27" s="6">
        <f>E27*inclusion!E$18</f>
        <v>107788.41757870706</v>
      </c>
      <c r="P27" s="6">
        <f>F27*inclusion!F$18</f>
        <v>19351.035</v>
      </c>
      <c r="Q27" s="6">
        <f>G27*inclusion!G$18</f>
        <v>4063.1064374597954</v>
      </c>
      <c r="R27" s="6">
        <f>H27*inclusion!H$18</f>
        <v>13584.195</v>
      </c>
      <c r="S27" s="6">
        <f>I27*inclusion!I$18</f>
        <v>4478.2649999999994</v>
      </c>
      <c r="T27" s="6">
        <f>J27*inclusion!J$18</f>
        <v>15832.664999999999</v>
      </c>
      <c r="U27" s="6">
        <f t="shared" si="0"/>
        <v>397147.51021616411</v>
      </c>
    </row>
    <row r="28" spans="1:21">
      <c r="A28" s="5">
        <v>40360</v>
      </c>
      <c r="B28" s="6">
        <v>135840</v>
      </c>
      <c r="C28" s="6">
        <v>67828</v>
      </c>
      <c r="D28" s="6">
        <v>44764</v>
      </c>
      <c r="E28" s="6">
        <v>405216</v>
      </c>
      <c r="F28" s="6">
        <v>20640</v>
      </c>
      <c r="G28" s="6">
        <v>4660</v>
      </c>
      <c r="H28" s="6">
        <v>14916</v>
      </c>
      <c r="I28" s="6">
        <v>4900</v>
      </c>
      <c r="J28" s="6">
        <v>16940</v>
      </c>
      <c r="K28" s="6"/>
      <c r="L28" s="6">
        <f>B28*inclusion!B$18</f>
        <v>131302.94399999999</v>
      </c>
      <c r="M28" s="6">
        <f>C28*inclusion!C$18</f>
        <v>63334.394999999997</v>
      </c>
      <c r="N28" s="6">
        <f>D28*inclusion!D$18</f>
        <v>39232.290027275732</v>
      </c>
      <c r="O28" s="6">
        <f>E28*inclusion!E$18</f>
        <v>112055.88586902838</v>
      </c>
      <c r="P28" s="6">
        <f>F28*inclusion!F$18</f>
        <v>19272.599999999999</v>
      </c>
      <c r="Q28" s="6">
        <f>G28*inclusion!G$18</f>
        <v>4084.1406381714078</v>
      </c>
      <c r="R28" s="6">
        <f>H28*inclusion!H$18</f>
        <v>13927.814999999999</v>
      </c>
      <c r="S28" s="6">
        <f>I28*inclusion!I$18</f>
        <v>4575.375</v>
      </c>
      <c r="T28" s="6">
        <f>J28*inclusion!J$18</f>
        <v>15817.725</v>
      </c>
      <c r="U28" s="6">
        <f t="shared" si="0"/>
        <v>403603.17053447547</v>
      </c>
    </row>
    <row r="29" spans="1:21">
      <c r="A29" s="5">
        <v>40452</v>
      </c>
      <c r="B29" s="6">
        <v>128696</v>
      </c>
      <c r="C29" s="6">
        <v>69656</v>
      </c>
      <c r="D29" s="6">
        <v>45416</v>
      </c>
      <c r="E29" s="6">
        <v>439840</v>
      </c>
      <c r="F29" s="6">
        <v>20528</v>
      </c>
      <c r="G29" s="6">
        <v>4664</v>
      </c>
      <c r="H29" s="6">
        <v>14628</v>
      </c>
      <c r="I29" s="6">
        <v>4680</v>
      </c>
      <c r="J29" s="6">
        <v>16912</v>
      </c>
      <c r="K29" s="6"/>
      <c r="L29" s="6">
        <f>B29*inclusion!B$18</f>
        <v>124397.5536</v>
      </c>
      <c r="M29" s="6">
        <f>C29*inclusion!C$18</f>
        <v>65041.29</v>
      </c>
      <c r="N29" s="6">
        <f>D29*inclusion!D$18</f>
        <v>39803.719146607866</v>
      </c>
      <c r="O29" s="6">
        <f>E29*inclusion!E$18</f>
        <v>121630.58921817856</v>
      </c>
      <c r="P29" s="6">
        <f>F29*inclusion!F$18</f>
        <v>19168.02</v>
      </c>
      <c r="Q29" s="6">
        <f>G29*inclusion!G$18</f>
        <v>4087.6463382900101</v>
      </c>
      <c r="R29" s="6">
        <f>H29*inclusion!H$18</f>
        <v>13658.895</v>
      </c>
      <c r="S29" s="6">
        <f>I29*inclusion!I$18</f>
        <v>4369.95</v>
      </c>
      <c r="T29" s="6">
        <f>J29*inclusion!J$18</f>
        <v>15791.58</v>
      </c>
      <c r="U29" s="6">
        <f t="shared" si="0"/>
        <v>407949.24330307654</v>
      </c>
    </row>
    <row r="30" spans="1:21">
      <c r="A30" s="5">
        <v>40544</v>
      </c>
      <c r="B30" s="6">
        <v>117468</v>
      </c>
      <c r="C30" s="6">
        <v>70700</v>
      </c>
      <c r="D30" s="6">
        <v>44732</v>
      </c>
      <c r="E30" s="6">
        <v>432064</v>
      </c>
      <c r="F30" s="6">
        <v>20404</v>
      </c>
      <c r="G30" s="6">
        <v>4656</v>
      </c>
      <c r="H30" s="6">
        <v>14488</v>
      </c>
      <c r="I30" s="6">
        <v>4646</v>
      </c>
      <c r="J30" s="6">
        <v>16944</v>
      </c>
      <c r="K30" s="6"/>
      <c r="L30" s="6">
        <f>B30*inclusion!B$18</f>
        <v>113544.56880000001</v>
      </c>
      <c r="M30" s="6">
        <f>C30*inclusion!C$18</f>
        <v>66016.125</v>
      </c>
      <c r="N30" s="6">
        <f>D30*inclusion!D$18</f>
        <v>39204.244426326914</v>
      </c>
      <c r="O30" s="6">
        <f>E30*inclusion!E$18</f>
        <v>119480.26305011618</v>
      </c>
      <c r="P30" s="6">
        <f>F30*inclusion!F$18</f>
        <v>19052.235000000001</v>
      </c>
      <c r="Q30" s="6">
        <f>G30*inclusion!G$18</f>
        <v>4080.6349380528059</v>
      </c>
      <c r="R30" s="6">
        <f>H30*inclusion!H$18</f>
        <v>13528.17</v>
      </c>
      <c r="S30" s="6">
        <f>I30*inclusion!I$18</f>
        <v>4338.2024999999994</v>
      </c>
      <c r="T30" s="6">
        <f>J30*inclusion!J$18</f>
        <v>15821.46</v>
      </c>
      <c r="U30" s="6">
        <f t="shared" si="0"/>
        <v>395065.90371449589</v>
      </c>
    </row>
    <row r="31" spans="1:21">
      <c r="A31" s="5">
        <v>40634</v>
      </c>
      <c r="B31" s="6">
        <v>107256</v>
      </c>
      <c r="C31" s="6">
        <v>71616</v>
      </c>
      <c r="D31" s="6">
        <v>45248</v>
      </c>
      <c r="E31" s="6">
        <v>437616</v>
      </c>
      <c r="F31" s="6">
        <v>20296</v>
      </c>
      <c r="G31" s="6">
        <v>4672</v>
      </c>
      <c r="H31" s="6">
        <v>14616</v>
      </c>
      <c r="I31" s="6">
        <v>4619</v>
      </c>
      <c r="J31" s="6">
        <v>16968</v>
      </c>
      <c r="K31" s="6"/>
      <c r="L31" s="6">
        <f>B31*inclusion!B$18</f>
        <v>103673.6496</v>
      </c>
      <c r="M31" s="6">
        <f>C31*inclusion!C$18</f>
        <v>66871.44</v>
      </c>
      <c r="N31" s="6">
        <f>D31*inclusion!D$18</f>
        <v>39656.479741626579</v>
      </c>
      <c r="O31" s="6">
        <f>E31*inclusion!E$18</f>
        <v>121015.57823595495</v>
      </c>
      <c r="P31" s="6">
        <f>F31*inclusion!F$18</f>
        <v>18951.39</v>
      </c>
      <c r="Q31" s="6">
        <f>G31*inclusion!G$18</f>
        <v>4094.657738527214</v>
      </c>
      <c r="R31" s="6">
        <f>H31*inclusion!H$18</f>
        <v>13647.689999999999</v>
      </c>
      <c r="S31" s="6">
        <f>I31*inclusion!I$18</f>
        <v>4312.99125</v>
      </c>
      <c r="T31" s="6">
        <f>J31*inclusion!J$18</f>
        <v>15843.869999999999</v>
      </c>
      <c r="U31" s="6">
        <f t="shared" si="0"/>
        <v>388067.74656610884</v>
      </c>
    </row>
    <row r="40" spans="12:22">
      <c r="L40" s="25">
        <f t="shared" ref="L40:T40" si="1">LN(L25/L17)</f>
        <v>1.4444804079240749</v>
      </c>
      <c r="M40" s="25">
        <f t="shared" si="1"/>
        <v>0.63647335921974257</v>
      </c>
      <c r="N40" s="25">
        <f t="shared" si="1"/>
        <v>0.14639705949441612</v>
      </c>
      <c r="O40" s="25">
        <f t="shared" si="1"/>
        <v>0.1304494191120594</v>
      </c>
      <c r="P40" s="25">
        <f t="shared" si="1"/>
        <v>0.11459102017805786</v>
      </c>
      <c r="Q40" s="25">
        <f t="shared" si="1"/>
        <v>-0.15623312070965675</v>
      </c>
      <c r="R40" s="25">
        <f t="shared" si="1"/>
        <v>8.1866671108392172E-2</v>
      </c>
      <c r="S40" s="25">
        <f t="shared" si="1"/>
        <v>0.66592961226802005</v>
      </c>
      <c r="T40" s="25">
        <f t="shared" si="1"/>
        <v>0.11524788115765923</v>
      </c>
      <c r="V40" s="25"/>
    </row>
    <row r="41" spans="12:22">
      <c r="L41" s="6">
        <f t="shared" ref="L41:T41" si="2">L25*EXP(-0.11)-L17</f>
        <v>94843.793300308447</v>
      </c>
      <c r="M41" s="6">
        <f t="shared" si="2"/>
        <v>21044.436651279695</v>
      </c>
      <c r="N41" s="6">
        <f t="shared" si="2"/>
        <v>1230.6045988922342</v>
      </c>
      <c r="O41" s="6">
        <f t="shared" si="2"/>
        <v>1895.5841839936911</v>
      </c>
      <c r="P41" s="6">
        <f t="shared" si="2"/>
        <v>79.69557572917256</v>
      </c>
      <c r="Q41" s="6">
        <f t="shared" si="2"/>
        <v>-1116.0509645103211</v>
      </c>
      <c r="R41" s="6">
        <f t="shared" si="2"/>
        <v>-323.06736379470749</v>
      </c>
      <c r="S41" s="6">
        <f t="shared" si="2"/>
        <v>1913.4912042409269</v>
      </c>
      <c r="T41" s="6">
        <f t="shared" si="2"/>
        <v>74.167997733276934</v>
      </c>
    </row>
  </sheetData>
  <mergeCells count="6">
    <mergeCell ref="B5:J5"/>
    <mergeCell ref="B7:D7"/>
    <mergeCell ref="E7:J7"/>
    <mergeCell ref="L7:N7"/>
    <mergeCell ref="O7:T7"/>
    <mergeCell ref="L5:U5"/>
  </mergeCells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workbookViewId="0"/>
  </sheetViews>
  <sheetFormatPr baseColWidth="10" defaultColWidth="8.83203125" defaultRowHeight="13" x14ac:dyDescent="0"/>
  <cols>
    <col min="1" max="1" width="13.83203125" bestFit="1" customWidth="1"/>
  </cols>
  <sheetData>
    <row r="1" spans="1:10">
      <c r="A1" t="s">
        <v>70</v>
      </c>
    </row>
    <row r="5" spans="1:10">
      <c r="B5" s="46" t="s">
        <v>66</v>
      </c>
      <c r="C5" s="46"/>
      <c r="D5" s="46"/>
      <c r="E5" s="46"/>
      <c r="F5" s="46"/>
      <c r="G5" s="46"/>
      <c r="H5" s="46"/>
      <c r="I5" s="46"/>
      <c r="J5" s="46"/>
    </row>
    <row r="6" spans="1:10">
      <c r="B6" t="s">
        <v>68</v>
      </c>
      <c r="C6" t="s">
        <v>69</v>
      </c>
      <c r="D6" s="12" t="s">
        <v>71</v>
      </c>
      <c r="E6" s="12" t="s">
        <v>72</v>
      </c>
    </row>
    <row r="7" spans="1:10">
      <c r="B7" s="46" t="s">
        <v>43</v>
      </c>
      <c r="C7" s="46"/>
      <c r="D7" s="46"/>
      <c r="E7" s="46" t="s">
        <v>56</v>
      </c>
      <c r="F7" s="46"/>
      <c r="G7" s="46"/>
      <c r="H7" s="46"/>
      <c r="I7" s="46"/>
      <c r="J7" s="46"/>
    </row>
    <row r="8" spans="1:10">
      <c r="B8" s="11" t="s">
        <v>44</v>
      </c>
      <c r="C8" s="11" t="s">
        <v>53</v>
      </c>
      <c r="D8" s="11" t="s">
        <v>54</v>
      </c>
      <c r="E8" s="11" t="s">
        <v>57</v>
      </c>
      <c r="F8" s="11" t="s">
        <v>58</v>
      </c>
      <c r="G8" s="11" t="s">
        <v>54</v>
      </c>
      <c r="H8" s="11" t="s">
        <v>59</v>
      </c>
      <c r="I8" s="11" t="s">
        <v>60</v>
      </c>
      <c r="J8" s="11" t="s">
        <v>61</v>
      </c>
    </row>
    <row r="9" spans="1:10">
      <c r="A9" s="8">
        <v>2006</v>
      </c>
      <c r="B9">
        <v>3.1</v>
      </c>
      <c r="D9" s="10">
        <v>13.155175320832049</v>
      </c>
      <c r="E9" s="10">
        <v>21.677874021769746</v>
      </c>
      <c r="G9" s="10">
        <f>D9</f>
        <v>13.155175320832049</v>
      </c>
    </row>
    <row r="10" spans="1:10">
      <c r="A10" s="8">
        <v>2007</v>
      </c>
      <c r="B10" s="10">
        <v>3.1</v>
      </c>
      <c r="C10" s="10">
        <v>6.5</v>
      </c>
      <c r="D10" s="10">
        <v>12.865726667466737</v>
      </c>
      <c r="E10" s="10">
        <v>20.698653834991326</v>
      </c>
      <c r="F10" s="6"/>
      <c r="G10" s="10">
        <f>D10</f>
        <v>12.865726667466737</v>
      </c>
      <c r="H10" s="6"/>
      <c r="I10" s="6"/>
      <c r="J10" s="6"/>
    </row>
    <row r="11" spans="1:10">
      <c r="A11" s="8">
        <v>2008</v>
      </c>
      <c r="B11" s="10">
        <v>3.3</v>
      </c>
      <c r="C11" s="10">
        <v>6.7</v>
      </c>
      <c r="D11" s="10">
        <v>12.49735336368569</v>
      </c>
      <c r="E11" s="10">
        <v>20.594573547297728</v>
      </c>
      <c r="F11" s="6"/>
      <c r="G11" s="10">
        <f>D11</f>
        <v>12.49735336368569</v>
      </c>
      <c r="H11" s="6"/>
      <c r="I11" s="6"/>
      <c r="J11" s="6"/>
    </row>
    <row r="12" spans="1:10">
      <c r="A12" s="8">
        <v>2009</v>
      </c>
      <c r="B12" s="10">
        <v>3.4</v>
      </c>
      <c r="C12" s="10">
        <v>6.5</v>
      </c>
      <c r="D12" s="10">
        <v>11.95278413767354</v>
      </c>
      <c r="E12" s="10"/>
      <c r="F12" s="6"/>
      <c r="G12" s="10">
        <f>D12</f>
        <v>11.95278413767354</v>
      </c>
      <c r="H12" s="6"/>
      <c r="I12" s="6"/>
      <c r="J12" s="6"/>
    </row>
    <row r="13" spans="1:10">
      <c r="A13" s="8">
        <v>2010</v>
      </c>
      <c r="B13" s="10">
        <v>3.8</v>
      </c>
      <c r="C13" s="10">
        <v>6.8</v>
      </c>
      <c r="D13" s="10">
        <v>11.316445685083576</v>
      </c>
      <c r="E13" s="10"/>
      <c r="F13" s="6"/>
      <c r="G13" s="10">
        <f>D13</f>
        <v>11.316445685083576</v>
      </c>
      <c r="H13" s="6"/>
      <c r="I13" s="6"/>
      <c r="J13" s="6"/>
    </row>
    <row r="14" spans="1:10">
      <c r="A14" s="1"/>
      <c r="B14" s="6"/>
      <c r="C14" s="6"/>
      <c r="D14" s="6"/>
      <c r="E14" s="6"/>
      <c r="F14" s="6"/>
      <c r="G14" s="6"/>
      <c r="H14" s="6"/>
      <c r="I14" s="6"/>
      <c r="J14" s="6"/>
    </row>
    <row r="15" spans="1:10">
      <c r="A15" s="1" t="s">
        <v>63</v>
      </c>
      <c r="B15" s="10">
        <f>AVERAGE(B9:B13)</f>
        <v>3.34</v>
      </c>
      <c r="C15" s="10">
        <f>AVERAGE(C9:C13)</f>
        <v>6.625</v>
      </c>
      <c r="D15" s="10">
        <f>AVERAGE(D9:D13)</f>
        <v>12.357497034948318</v>
      </c>
      <c r="E15" s="10">
        <f>AVERAGE(E9:E13)</f>
        <v>20.990367134686267</v>
      </c>
      <c r="F15" s="10">
        <f>$C15</f>
        <v>6.625</v>
      </c>
      <c r="G15" s="10">
        <f>AVERAGE(G9:G13)</f>
        <v>12.357497034948318</v>
      </c>
      <c r="H15" s="10">
        <f>$C15</f>
        <v>6.625</v>
      </c>
      <c r="I15" s="10">
        <f>$C15</f>
        <v>6.625</v>
      </c>
      <c r="J15" s="10">
        <f>$C15</f>
        <v>6.625</v>
      </c>
    </row>
    <row r="16" spans="1:10">
      <c r="A16" s="1" t="s">
        <v>67</v>
      </c>
      <c r="B16" s="10">
        <f>100-B15</f>
        <v>96.66</v>
      </c>
      <c r="C16" s="10">
        <f>100-C15</f>
        <v>93.375</v>
      </c>
      <c r="D16" s="10">
        <f>100-D15</f>
        <v>87.642502965051676</v>
      </c>
      <c r="E16" s="10">
        <f t="shared" ref="E16:J16" si="0">100-E15</f>
        <v>79.009632865313733</v>
      </c>
      <c r="F16" s="10">
        <f t="shared" si="0"/>
        <v>93.375</v>
      </c>
      <c r="G16" s="10">
        <f t="shared" si="0"/>
        <v>87.642502965051676</v>
      </c>
      <c r="H16" s="10">
        <f t="shared" si="0"/>
        <v>93.375</v>
      </c>
      <c r="I16" s="10">
        <f t="shared" si="0"/>
        <v>93.375</v>
      </c>
      <c r="J16" s="10">
        <f t="shared" si="0"/>
        <v>93.375</v>
      </c>
    </row>
    <row r="17" spans="1:12">
      <c r="A17" s="1" t="s">
        <v>73</v>
      </c>
      <c r="B17" s="6">
        <v>1</v>
      </c>
      <c r="C17" s="6">
        <v>1</v>
      </c>
      <c r="D17" s="6">
        <v>1</v>
      </c>
      <c r="E17" s="13">
        <v>0.35</v>
      </c>
      <c r="F17" s="6">
        <v>1</v>
      </c>
      <c r="G17" s="6">
        <v>1</v>
      </c>
      <c r="H17" s="6">
        <v>1</v>
      </c>
      <c r="I17" s="6">
        <v>1</v>
      </c>
      <c r="J17" s="6">
        <v>1</v>
      </c>
      <c r="L17" t="s">
        <v>113</v>
      </c>
    </row>
    <row r="18" spans="1:12">
      <c r="A18" s="1" t="s">
        <v>74</v>
      </c>
      <c r="B18" s="14">
        <f>B16*B17/100</f>
        <v>0.96660000000000001</v>
      </c>
      <c r="C18" s="14">
        <f t="shared" ref="C18:J18" si="1">C16*C17/100</f>
        <v>0.93374999999999997</v>
      </c>
      <c r="D18" s="14">
        <f t="shared" si="1"/>
        <v>0.87642502965051672</v>
      </c>
      <c r="E18" s="14">
        <f t="shared" si="1"/>
        <v>0.27653371502859803</v>
      </c>
      <c r="F18" s="14">
        <f t="shared" si="1"/>
        <v>0.93374999999999997</v>
      </c>
      <c r="G18" s="14">
        <f t="shared" si="1"/>
        <v>0.87642502965051672</v>
      </c>
      <c r="H18" s="14">
        <f t="shared" si="1"/>
        <v>0.93374999999999997</v>
      </c>
      <c r="I18" s="14">
        <f t="shared" si="1"/>
        <v>0.93374999999999997</v>
      </c>
      <c r="J18" s="14">
        <f t="shared" si="1"/>
        <v>0.93374999999999997</v>
      </c>
    </row>
    <row r="19" spans="1:12">
      <c r="A19" s="1"/>
      <c r="B19" s="6"/>
      <c r="C19" s="6"/>
      <c r="D19" s="6"/>
      <c r="E19" s="6"/>
      <c r="F19" s="6"/>
      <c r="G19" s="6"/>
      <c r="H19" s="6"/>
      <c r="I19" s="6"/>
      <c r="J19" s="6"/>
    </row>
    <row r="20" spans="1:12">
      <c r="A20" s="1"/>
      <c r="B20" s="6"/>
      <c r="C20" s="6"/>
      <c r="D20" s="6"/>
      <c r="E20" s="6"/>
      <c r="F20" s="6"/>
      <c r="G20" s="6"/>
      <c r="H20" s="6"/>
      <c r="I20" s="6"/>
      <c r="J20" s="6"/>
    </row>
    <row r="21" spans="1:12">
      <c r="A21" s="1"/>
      <c r="B21" s="6"/>
      <c r="C21" s="6"/>
      <c r="D21" s="6"/>
      <c r="E21" s="6"/>
      <c r="F21" s="6"/>
      <c r="G21" s="6"/>
      <c r="H21" s="6"/>
      <c r="I21" s="6"/>
      <c r="J21" s="6"/>
    </row>
    <row r="22" spans="1:12">
      <c r="A22" s="1"/>
      <c r="B22" s="6"/>
      <c r="C22" s="6"/>
      <c r="D22" s="6"/>
      <c r="E22" s="6"/>
      <c r="F22" s="6"/>
      <c r="G22" s="6"/>
      <c r="H22" s="6"/>
      <c r="I22" s="6"/>
      <c r="J22" s="6"/>
    </row>
    <row r="23" spans="1:12">
      <c r="A23" s="1"/>
      <c r="B23" s="6"/>
      <c r="C23" s="6"/>
      <c r="D23" s="6"/>
      <c r="E23" s="6"/>
      <c r="F23" s="6"/>
      <c r="G23" s="6"/>
      <c r="H23" s="6"/>
      <c r="I23" s="6"/>
      <c r="J23" s="6"/>
    </row>
    <row r="24" spans="1:12">
      <c r="A24" s="1"/>
      <c r="B24" s="6"/>
      <c r="C24" s="6"/>
      <c r="D24" s="6"/>
      <c r="E24" s="6"/>
      <c r="F24" s="6"/>
      <c r="G24" s="6"/>
      <c r="H24" s="6"/>
      <c r="I24" s="6"/>
      <c r="J24" s="6"/>
    </row>
    <row r="25" spans="1:12">
      <c r="A25" s="1"/>
      <c r="B25" s="6"/>
      <c r="C25" s="6"/>
      <c r="D25" s="6"/>
      <c r="E25" s="6"/>
      <c r="F25" s="6"/>
      <c r="G25" s="6"/>
      <c r="H25" s="6"/>
      <c r="I25" s="6"/>
      <c r="J25" s="6"/>
    </row>
    <row r="26" spans="1:12">
      <c r="A26" s="1"/>
      <c r="B26" s="6"/>
      <c r="C26" s="6"/>
      <c r="D26" s="6"/>
      <c r="E26" s="6"/>
      <c r="F26" s="6"/>
      <c r="G26" s="6"/>
      <c r="H26" s="6"/>
      <c r="I26" s="6"/>
      <c r="J26" s="6"/>
    </row>
    <row r="27" spans="1:12">
      <c r="A27" s="1"/>
      <c r="B27" s="6"/>
      <c r="C27" s="6"/>
      <c r="D27" s="6"/>
      <c r="E27" s="6"/>
      <c r="F27" s="6"/>
      <c r="G27" s="6"/>
      <c r="H27" s="6"/>
      <c r="I27" s="6"/>
      <c r="J27" s="6"/>
    </row>
    <row r="28" spans="1:12">
      <c r="A28" s="1"/>
      <c r="B28" s="6"/>
      <c r="C28" s="6"/>
      <c r="D28" s="6"/>
      <c r="E28" s="6"/>
      <c r="F28" s="6"/>
      <c r="G28" s="6"/>
      <c r="H28" s="6"/>
      <c r="I28" s="6"/>
      <c r="J28" s="6"/>
    </row>
    <row r="29" spans="1:12">
      <c r="A29" s="1"/>
      <c r="B29" s="6"/>
      <c r="C29" s="6"/>
      <c r="D29" s="6"/>
      <c r="E29" s="6"/>
      <c r="F29" s="6"/>
      <c r="G29" s="6"/>
      <c r="H29" s="6"/>
      <c r="I29" s="6"/>
      <c r="J29" s="6"/>
    </row>
    <row r="30" spans="1:12">
      <c r="A30" s="1"/>
      <c r="B30" s="6"/>
      <c r="C30" s="6"/>
      <c r="D30" s="6"/>
      <c r="E30" s="6"/>
      <c r="F30" s="6"/>
      <c r="G30" s="6"/>
      <c r="H30" s="6"/>
      <c r="I30" s="6"/>
      <c r="J30" s="6"/>
    </row>
    <row r="31" spans="1:12">
      <c r="A31" s="1"/>
      <c r="B31" s="6"/>
      <c r="C31" s="6"/>
      <c r="D31" s="6"/>
      <c r="E31" s="6"/>
      <c r="F31" s="6"/>
      <c r="G31" s="6"/>
      <c r="H31" s="6"/>
      <c r="I31" s="6"/>
      <c r="J31" s="6"/>
    </row>
  </sheetData>
  <mergeCells count="3">
    <mergeCell ref="B7:D7"/>
    <mergeCell ref="E7:J7"/>
    <mergeCell ref="B5:J5"/>
  </mergeCells>
  <hyperlinks>
    <hyperlink ref="D6" r:id="rId1"/>
    <hyperlink ref="E6" r:id="rId2"/>
  </hyperlinks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"/>
  <sheetViews>
    <sheetView showGridLines="0" workbookViewId="0"/>
  </sheetViews>
  <sheetFormatPr baseColWidth="10" defaultColWidth="8.83203125" defaultRowHeight="12" x14ac:dyDescent="0"/>
  <cols>
    <col min="1" max="1" width="48.83203125" style="16" customWidth="1"/>
    <col min="2" max="2" width="9.5" style="16" customWidth="1"/>
    <col min="3" max="4" width="11.5" style="16" customWidth="1"/>
    <col min="5" max="5" width="9.6640625" style="16" hidden="1" customWidth="1"/>
    <col min="6" max="6" width="11.6640625" style="16" customWidth="1"/>
    <col min="7" max="7" width="9.6640625" style="16" hidden="1" customWidth="1"/>
    <col min="8" max="8" width="11.5" style="16" customWidth="1"/>
    <col min="9" max="9" width="12.6640625" style="16" customWidth="1"/>
    <col min="10" max="256" width="11.5" style="16" customWidth="1"/>
    <col min="257" max="16384" width="8.83203125" style="16"/>
  </cols>
  <sheetData>
    <row r="1" spans="1:9" ht="16">
      <c r="A1" s="23" t="str">
        <f>"Redistribution Recession Table "&amp;C2&amp;". Means-tested Public Subsidies Found in the Personal Income Accounts, 2009"</f>
        <v>Redistribution Recession Table 3.2. Means-tested Public Subsidies Found in the Personal Income Accounts, 2009</v>
      </c>
      <c r="B1" s="15"/>
      <c r="C1" s="15"/>
      <c r="D1" s="15"/>
      <c r="E1" s="15"/>
      <c r="F1" s="15"/>
      <c r="G1" s="15"/>
      <c r="H1" s="15"/>
    </row>
    <row r="2" spans="1:9" ht="16" hidden="1">
      <c r="A2" s="15" t="s">
        <v>38</v>
      </c>
      <c r="B2" s="15"/>
      <c r="C2" s="17" t="s">
        <v>102</v>
      </c>
      <c r="D2" s="15"/>
      <c r="E2" s="15"/>
      <c r="F2" s="15"/>
      <c r="G2" s="15"/>
      <c r="H2" s="15"/>
    </row>
    <row r="3" spans="1:9" ht="16">
      <c r="A3" s="15"/>
      <c r="B3" s="15"/>
      <c r="C3" s="15"/>
      <c r="D3" s="15"/>
      <c r="E3" s="15"/>
      <c r="F3" s="15"/>
      <c r="G3" s="15"/>
      <c r="H3" s="15"/>
    </row>
    <row r="4" spans="1:9" ht="17">
      <c r="A4" s="18" t="s">
        <v>75</v>
      </c>
      <c r="B4" s="47" t="s">
        <v>97</v>
      </c>
      <c r="C4" s="47"/>
      <c r="D4" s="47"/>
      <c r="E4" s="15"/>
      <c r="F4" s="18" t="s">
        <v>98</v>
      </c>
      <c r="G4" s="15"/>
      <c r="H4" s="15"/>
    </row>
    <row r="5" spans="1:9" ht="16">
      <c r="A5" s="47" t="s">
        <v>43</v>
      </c>
      <c r="B5" s="47"/>
      <c r="C5" s="47"/>
      <c r="D5" s="47"/>
      <c r="E5" s="47"/>
      <c r="F5" s="47"/>
      <c r="G5" s="15" t="s">
        <v>106</v>
      </c>
      <c r="H5" s="15"/>
    </row>
    <row r="6" spans="1:9" ht="16">
      <c r="A6" s="15" t="s">
        <v>76</v>
      </c>
      <c r="B6" s="15"/>
      <c r="C6" s="19">
        <f>inclusion!B$18</f>
        <v>0.96660000000000001</v>
      </c>
      <c r="D6" s="19"/>
      <c r="E6" s="20">
        <f>AVERAGE(GovPrograms!B$22:B$25)</f>
        <v>130612</v>
      </c>
      <c r="F6" s="21">
        <f>E6*C6/E$17</f>
        <v>0.33704639334941167</v>
      </c>
      <c r="G6" s="20">
        <f>AVERAGE(GovPrograms!B$25:B$28)</f>
        <v>143666</v>
      </c>
    </row>
    <row r="7" spans="1:9" ht="16">
      <c r="A7" s="15" t="s">
        <v>77</v>
      </c>
      <c r="B7" s="15"/>
      <c r="C7" s="19">
        <f>inclusion!C$18</f>
        <v>0.93374999999999997</v>
      </c>
      <c r="D7" s="15"/>
      <c r="E7" s="20">
        <f>AVERAGE(GovPrograms!C$22:C$25)</f>
        <v>54763</v>
      </c>
      <c r="F7" s="21">
        <f>E7*C7/E$17</f>
        <v>0.13651414707601203</v>
      </c>
      <c r="G7" s="20">
        <f>AVERAGE(GovPrograms!C$25:C$28)</f>
        <v>64466</v>
      </c>
    </row>
    <row r="8" spans="1:9" ht="16">
      <c r="A8" s="15" t="s">
        <v>78</v>
      </c>
      <c r="B8" s="15"/>
      <c r="C8" s="19">
        <f>inclusion!D$18</f>
        <v>0.87642502965051672</v>
      </c>
      <c r="D8" s="15"/>
      <c r="E8" s="20">
        <f>AVERAGE(GovPrograms!D$22:D$25)</f>
        <v>42622</v>
      </c>
      <c r="F8" s="21">
        <f t="shared" ref="F8:F15" si="0">E8*C8/E$17</f>
        <v>9.9726002440024428E-2</v>
      </c>
      <c r="G8" s="20">
        <f>AVERAGE(GovPrograms!D$25:D$28)</f>
        <v>43915</v>
      </c>
    </row>
    <row r="9" spans="1:9" ht="16">
      <c r="A9" s="47" t="s">
        <v>79</v>
      </c>
      <c r="B9" s="47"/>
      <c r="C9" s="47"/>
      <c r="D9" s="47"/>
      <c r="E9" s="47"/>
      <c r="F9" s="47"/>
      <c r="G9" s="15"/>
      <c r="H9" s="15"/>
    </row>
    <row r="10" spans="1:9" ht="16">
      <c r="A10" s="15" t="s">
        <v>57</v>
      </c>
      <c r="B10" s="15"/>
      <c r="C10" s="19">
        <f>inclusion!E$18</f>
        <v>0.27653371502859803</v>
      </c>
      <c r="D10" s="15"/>
      <c r="E10" s="20">
        <f>AVERAGE(GovPrograms!E$22:E$25)</f>
        <v>374114</v>
      </c>
      <c r="F10" s="21">
        <f t="shared" si="0"/>
        <v>0.27619248810201591</v>
      </c>
      <c r="G10" s="20">
        <f>AVERAGE(GovPrograms!E$25:E$28)</f>
        <v>389914</v>
      </c>
      <c r="I10" s="19" t="s">
        <v>114</v>
      </c>
    </row>
    <row r="11" spans="1:9" ht="16">
      <c r="A11" s="15" t="s">
        <v>58</v>
      </c>
      <c r="B11" s="15"/>
      <c r="C11" s="19">
        <f>inclusion!F$18</f>
        <v>0.93374999999999997</v>
      </c>
      <c r="D11" s="15"/>
      <c r="E11" s="20">
        <f>AVERAGE(GovPrograms!F$22:F$25)</f>
        <v>20554</v>
      </c>
      <c r="F11" s="21">
        <f t="shared" si="0"/>
        <v>5.1237364260547293E-2</v>
      </c>
      <c r="G11" s="20">
        <f>AVERAGE(GovPrograms!F$25:F$28)</f>
        <v>20736</v>
      </c>
    </row>
    <row r="12" spans="1:9" ht="16">
      <c r="A12" s="15" t="s">
        <v>78</v>
      </c>
      <c r="B12" s="15"/>
      <c r="C12" s="19">
        <f>inclusion!G$18</f>
        <v>0.87642502965051672</v>
      </c>
      <c r="D12" s="15"/>
      <c r="E12" s="20">
        <f>AVERAGE(GovPrograms!G$22:G$25)</f>
        <v>5019</v>
      </c>
      <c r="F12" s="21">
        <f t="shared" si="0"/>
        <v>1.1743343959609654E-2</v>
      </c>
      <c r="G12" s="20">
        <f>AVERAGE(GovPrograms!G$25:G$28)</f>
        <v>4645</v>
      </c>
    </row>
    <row r="13" spans="1:9" ht="16">
      <c r="A13" s="15" t="s">
        <v>59</v>
      </c>
      <c r="B13" s="15"/>
      <c r="C13" s="19">
        <f>inclusion!H$18</f>
        <v>0.93374999999999997</v>
      </c>
      <c r="D13" s="15"/>
      <c r="E13" s="20">
        <f>AVERAGE(GovPrograms!H$22:H$25)</f>
        <v>13201</v>
      </c>
      <c r="F13" s="21">
        <f t="shared" si="0"/>
        <v>3.290767955646029E-2</v>
      </c>
      <c r="G13" s="20">
        <f>AVERAGE(GovPrograms!H$25:H$28)</f>
        <v>14267</v>
      </c>
    </row>
    <row r="14" spans="1:9" ht="16">
      <c r="A14" s="15" t="s">
        <v>60</v>
      </c>
      <c r="B14" s="15"/>
      <c r="C14" s="19">
        <f>inclusion!I$18</f>
        <v>0.93374999999999997</v>
      </c>
      <c r="D14" s="15"/>
      <c r="E14" s="20">
        <f>AVERAGE(GovPrograms!I$22:I$25)</f>
        <v>5065</v>
      </c>
      <c r="F14" s="21">
        <f t="shared" si="0"/>
        <v>1.2626119002611269E-2</v>
      </c>
      <c r="G14" s="20">
        <f>AVERAGE(GovPrograms!I$25:I$28)</f>
        <v>5046</v>
      </c>
    </row>
    <row r="15" spans="1:9" ht="18.75" customHeight="1">
      <c r="A15" s="15" t="s">
        <v>99</v>
      </c>
      <c r="B15" s="15"/>
      <c r="C15" s="19">
        <f>inclusion!J$18</f>
        <v>0.93374999999999997</v>
      </c>
      <c r="D15" s="15"/>
      <c r="E15" s="20">
        <f>AVERAGE(GovPrograms!J$22:J$25)</f>
        <v>16851</v>
      </c>
      <c r="F15" s="21">
        <f t="shared" si="0"/>
        <v>4.2006462253307501E-2</v>
      </c>
      <c r="G15" s="20">
        <f>AVERAGE(GovPrograms!J$25:J$28)</f>
        <v>16949</v>
      </c>
      <c r="H15" s="15"/>
    </row>
    <row r="16" spans="1:9" ht="16">
      <c r="A16" s="15"/>
      <c r="B16" s="15"/>
      <c r="C16" s="19"/>
      <c r="D16" s="15"/>
      <c r="E16" s="20"/>
      <c r="F16" s="21"/>
      <c r="G16" s="15">
        <f>SUMPRODUCT($C$11:$C$15,$G$11:$G$15)+($C$8*$G$8)</f>
        <v>95781.081939829091</v>
      </c>
      <c r="H16" s="15"/>
    </row>
    <row r="17" spans="1:9" ht="16">
      <c r="A17" s="15" t="s">
        <v>94</v>
      </c>
      <c r="B17" s="15"/>
      <c r="C17" s="15"/>
      <c r="D17" s="15"/>
      <c r="E17" s="20">
        <f>SUMPRODUCT($C6:$C8,E6:E8)+SUMPRODUCT($C10:$C15,E10:E15)</f>
        <v>374576.20580178918</v>
      </c>
      <c r="F17" s="15"/>
      <c r="G17" s="15"/>
      <c r="H17" s="15"/>
    </row>
    <row r="18" spans="1:9" ht="18.75" customHeight="1">
      <c r="A18" s="49" t="s">
        <v>101</v>
      </c>
      <c r="B18" s="48"/>
      <c r="C18" s="48"/>
      <c r="D18" s="48"/>
      <c r="E18" s="48"/>
      <c r="F18" s="48"/>
      <c r="G18" s="48"/>
      <c r="H18" s="48"/>
      <c r="I18" s="48"/>
    </row>
    <row r="19" spans="1:9" ht="18.75" customHeight="1">
      <c r="A19" s="48"/>
      <c r="B19" s="48"/>
      <c r="C19" s="48"/>
      <c r="D19" s="48"/>
      <c r="E19" s="48"/>
      <c r="F19" s="48"/>
      <c r="G19" s="48"/>
      <c r="H19" s="48"/>
      <c r="I19" s="48"/>
    </row>
    <row r="20" spans="1:9" ht="18.75" customHeight="1">
      <c r="A20" s="48" t="s">
        <v>95</v>
      </c>
      <c r="B20" s="48"/>
      <c r="C20" s="48"/>
      <c r="D20" s="48"/>
      <c r="E20" s="48"/>
      <c r="F20" s="48"/>
      <c r="G20" s="48"/>
      <c r="H20" s="48"/>
      <c r="I20" s="48"/>
    </row>
    <row r="21" spans="1:9" ht="18.75" customHeight="1">
      <c r="A21" s="48"/>
      <c r="B21" s="48"/>
      <c r="C21" s="48"/>
      <c r="D21" s="48"/>
      <c r="E21" s="48"/>
      <c r="F21" s="48"/>
      <c r="G21" s="48"/>
      <c r="H21" s="48"/>
      <c r="I21" s="48"/>
    </row>
    <row r="22" spans="1:9" ht="18.75" customHeight="1">
      <c r="A22" s="48" t="s">
        <v>96</v>
      </c>
      <c r="B22" s="48"/>
      <c r="C22" s="48"/>
      <c r="D22" s="48"/>
      <c r="E22" s="48"/>
      <c r="F22" s="48"/>
      <c r="G22" s="48"/>
      <c r="H22" s="48"/>
      <c r="I22" s="48"/>
    </row>
    <row r="23" spans="1:9" ht="18.75" customHeight="1">
      <c r="A23" s="48"/>
      <c r="B23" s="48"/>
      <c r="C23" s="48"/>
      <c r="D23" s="48"/>
      <c r="E23" s="48"/>
      <c r="F23" s="48"/>
      <c r="G23" s="48"/>
      <c r="H23" s="48"/>
      <c r="I23" s="48"/>
    </row>
    <row r="24" spans="1:9">
      <c r="A24" s="48"/>
      <c r="B24" s="48"/>
      <c r="C24" s="48"/>
      <c r="D24" s="48"/>
      <c r="E24" s="48"/>
      <c r="F24" s="48"/>
      <c r="G24" s="48"/>
      <c r="H24" s="48"/>
      <c r="I24" s="48"/>
    </row>
    <row r="25" spans="1:9">
      <c r="A25" s="48"/>
      <c r="B25" s="48"/>
      <c r="C25" s="48"/>
      <c r="D25" s="48"/>
      <c r="E25" s="48"/>
      <c r="F25" s="48"/>
      <c r="G25" s="48"/>
      <c r="H25" s="48"/>
      <c r="I25" s="48"/>
    </row>
    <row r="26" spans="1:9" ht="16">
      <c r="A26" s="15"/>
      <c r="B26" s="15"/>
      <c r="C26" s="15"/>
      <c r="D26" s="15"/>
      <c r="E26" s="15"/>
      <c r="F26" s="15"/>
      <c r="G26" s="15"/>
      <c r="H26" s="15"/>
    </row>
    <row r="27" spans="1:9" ht="16">
      <c r="A27" s="15"/>
      <c r="B27" s="15"/>
      <c r="C27" s="15"/>
      <c r="D27" s="15"/>
      <c r="E27" s="15"/>
      <c r="F27" s="15"/>
      <c r="G27" s="15"/>
      <c r="H27" s="15"/>
    </row>
    <row r="28" spans="1:9" ht="16">
      <c r="A28" s="15"/>
      <c r="B28" s="15"/>
      <c r="C28" s="15"/>
      <c r="D28" s="15"/>
      <c r="E28" s="15"/>
      <c r="F28" s="15"/>
      <c r="G28" s="15"/>
      <c r="H28" s="15"/>
    </row>
    <row r="29" spans="1:9" ht="16">
      <c r="A29" s="15"/>
      <c r="B29" s="15"/>
      <c r="C29" s="15"/>
      <c r="D29" s="15"/>
      <c r="E29" s="15"/>
      <c r="F29" s="15"/>
      <c r="G29" s="15"/>
      <c r="H29" s="15"/>
    </row>
    <row r="30" spans="1:9" ht="16">
      <c r="A30" s="15"/>
      <c r="B30" s="15"/>
      <c r="C30" s="15"/>
      <c r="D30" s="15"/>
      <c r="E30" s="15"/>
      <c r="F30" s="15"/>
      <c r="G30" s="15"/>
      <c r="H30" s="15"/>
    </row>
    <row r="31" spans="1:9" ht="16">
      <c r="A31" s="15"/>
      <c r="B31" s="15"/>
      <c r="C31" s="15"/>
      <c r="D31" s="15"/>
      <c r="E31" s="15"/>
      <c r="F31" s="15"/>
      <c r="G31" s="15"/>
      <c r="H31" s="15"/>
    </row>
    <row r="32" spans="1:9" ht="16">
      <c r="A32" s="15"/>
      <c r="B32" s="15"/>
      <c r="C32" s="15"/>
      <c r="D32" s="15"/>
      <c r="E32" s="15"/>
      <c r="F32" s="15"/>
      <c r="G32" s="15"/>
      <c r="H32" s="15"/>
    </row>
    <row r="33" spans="1:8" ht="16">
      <c r="A33" s="15"/>
      <c r="B33" s="15"/>
      <c r="C33" s="15"/>
      <c r="D33" s="15"/>
      <c r="E33" s="15"/>
      <c r="F33" s="15"/>
      <c r="G33" s="15"/>
      <c r="H33" s="15"/>
    </row>
    <row r="34" spans="1:8" ht="16">
      <c r="A34" s="15"/>
      <c r="B34" s="15"/>
      <c r="C34" s="15"/>
      <c r="D34" s="15"/>
      <c r="E34" s="15"/>
      <c r="F34" s="15"/>
      <c r="G34" s="15"/>
      <c r="H34" s="15"/>
    </row>
    <row r="35" spans="1:8" ht="16">
      <c r="A35" s="15"/>
      <c r="B35" s="15"/>
      <c r="C35" s="15"/>
      <c r="D35" s="15"/>
      <c r="E35" s="15"/>
      <c r="F35" s="15"/>
      <c r="G35" s="15"/>
      <c r="H35" s="15"/>
    </row>
    <row r="36" spans="1:8" ht="16">
      <c r="A36" s="15"/>
      <c r="B36" s="15"/>
      <c r="C36" s="15"/>
      <c r="D36" s="15"/>
      <c r="E36" s="15"/>
      <c r="F36" s="15"/>
      <c r="G36" s="15"/>
      <c r="H36" s="15"/>
    </row>
  </sheetData>
  <mergeCells count="7">
    <mergeCell ref="B4:D4"/>
    <mergeCell ref="A24:I25"/>
    <mergeCell ref="A18:I19"/>
    <mergeCell ref="A20:I21"/>
    <mergeCell ref="A22:I23"/>
    <mergeCell ref="A5:F5"/>
    <mergeCell ref="A9:F9"/>
  </mergeCells>
  <pageMargins left="0.7" right="0.7" top="0.75" bottom="0.75" header="0.3" footer="0.3"/>
  <pageSetup orientation="landscape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8"/>
  <sheetViews>
    <sheetView workbookViewId="0"/>
  </sheetViews>
  <sheetFormatPr baseColWidth="10" defaultRowHeight="13" x14ac:dyDescent="0"/>
  <cols>
    <col min="4" max="4" width="50.83203125" customWidth="1"/>
    <col min="8" max="8" width="80.83203125" customWidth="1"/>
  </cols>
  <sheetData>
    <row r="1" spans="1:11" ht="15">
      <c r="A1" s="30" t="s">
        <v>126</v>
      </c>
      <c r="B1" s="44" t="s">
        <v>156</v>
      </c>
      <c r="C1" s="30"/>
      <c r="D1" s="30"/>
      <c r="E1" s="30"/>
      <c r="F1" s="30"/>
      <c r="G1" s="30"/>
      <c r="H1" s="30"/>
      <c r="I1" s="30"/>
      <c r="J1" s="30"/>
    </row>
    <row r="2" spans="1:11" ht="15">
      <c r="A2" s="30"/>
      <c r="B2" s="30"/>
      <c r="C2" s="30"/>
      <c r="D2" s="30"/>
      <c r="E2" s="30"/>
      <c r="F2" s="30"/>
      <c r="G2" s="30"/>
      <c r="H2" s="30"/>
      <c r="I2" s="30"/>
      <c r="J2" s="30"/>
    </row>
    <row r="3" spans="1:11" ht="15">
      <c r="A3" s="31" t="s">
        <v>116</v>
      </c>
      <c r="B3" s="31" t="s">
        <v>117</v>
      </c>
      <c r="C3" s="31" t="s">
        <v>118</v>
      </c>
      <c r="D3" s="32" t="s">
        <v>119</v>
      </c>
      <c r="E3" s="31" t="s">
        <v>120</v>
      </c>
      <c r="F3" s="31" t="s">
        <v>121</v>
      </c>
      <c r="G3" s="31" t="s">
        <v>122</v>
      </c>
      <c r="H3" s="31" t="s">
        <v>123</v>
      </c>
      <c r="I3" s="31" t="s">
        <v>124</v>
      </c>
      <c r="J3" s="31" t="s">
        <v>125</v>
      </c>
    </row>
    <row r="4" spans="1:11" ht="15">
      <c r="A4" s="30" t="s">
        <v>61</v>
      </c>
      <c r="B4" s="30">
        <v>5</v>
      </c>
      <c r="C4" s="30">
        <v>29</v>
      </c>
      <c r="D4" s="33" t="s">
        <v>127</v>
      </c>
      <c r="E4" s="34" t="s">
        <v>133</v>
      </c>
      <c r="F4" s="30">
        <v>250</v>
      </c>
      <c r="G4" s="30">
        <f>ROUND(AVERAGE(Summary!$C$11:$H$18)*6/50,0)*50</f>
        <v>250</v>
      </c>
      <c r="H4" s="30" t="s">
        <v>131</v>
      </c>
      <c r="I4" s="30"/>
      <c r="J4" s="30" t="s">
        <v>136</v>
      </c>
    </row>
    <row r="5" spans="1:11" ht="15">
      <c r="A5" s="30" t="s">
        <v>61</v>
      </c>
      <c r="B5" s="30">
        <v>6</v>
      </c>
      <c r="C5" s="30">
        <v>31</v>
      </c>
      <c r="D5" s="33" t="s">
        <v>135</v>
      </c>
      <c r="E5" s="34" t="s">
        <v>130</v>
      </c>
      <c r="F5" s="30">
        <v>550</v>
      </c>
      <c r="G5" s="30">
        <f>ROUND(AVERAGE(Summary!$C$25:$H$26)*6/50,0)*50</f>
        <v>550</v>
      </c>
      <c r="H5" s="30" t="s">
        <v>132</v>
      </c>
      <c r="I5" s="30"/>
      <c r="J5" s="30" t="s">
        <v>136</v>
      </c>
    </row>
    <row r="6" spans="1:11" ht="15">
      <c r="A6" s="30" t="s">
        <v>61</v>
      </c>
      <c r="B6" s="30">
        <v>7</v>
      </c>
      <c r="C6" s="30"/>
      <c r="D6" s="33" t="s">
        <v>134</v>
      </c>
      <c r="E6" s="30" t="s">
        <v>129</v>
      </c>
      <c r="F6" s="30">
        <v>4</v>
      </c>
      <c r="G6" s="35">
        <f>AVERAGE(Summary!$C$25:$H$26)*6/AVERAGE(Summary!D25:D26)</f>
        <v>3.8042325419751353</v>
      </c>
      <c r="H6" s="30" t="s">
        <v>128</v>
      </c>
      <c r="I6" s="30"/>
      <c r="J6" s="30" t="s">
        <v>136</v>
      </c>
    </row>
    <row r="7" spans="1:11" ht="15">
      <c r="A7" s="39" t="s">
        <v>61</v>
      </c>
      <c r="B7" s="30">
        <v>22</v>
      </c>
      <c r="C7" s="30">
        <v>148</v>
      </c>
      <c r="D7" s="41" t="s">
        <v>149</v>
      </c>
      <c r="E7" s="40" t="s">
        <v>148</v>
      </c>
      <c r="F7" s="30">
        <v>11</v>
      </c>
      <c r="G7" s="38">
        <f>Summary!U26-G9</f>
        <v>0.10881889054181024</v>
      </c>
      <c r="H7" s="39" t="s">
        <v>147</v>
      </c>
      <c r="I7" s="30"/>
      <c r="J7" s="39" t="s">
        <v>136</v>
      </c>
    </row>
    <row r="8" spans="1:11" ht="15">
      <c r="A8" s="39" t="s">
        <v>61</v>
      </c>
      <c r="B8" s="30">
        <v>30</v>
      </c>
      <c r="C8" s="30">
        <v>195</v>
      </c>
      <c r="D8" s="41" t="s">
        <v>150</v>
      </c>
      <c r="E8" s="40" t="s">
        <v>151</v>
      </c>
      <c r="F8" s="30">
        <v>12</v>
      </c>
      <c r="G8" s="38">
        <f>G10-G9</f>
        <v>0.11980939149761557</v>
      </c>
      <c r="H8" s="39" t="s">
        <v>152</v>
      </c>
      <c r="I8" s="30"/>
      <c r="J8" s="42" t="s">
        <v>136</v>
      </c>
    </row>
    <row r="9" spans="1:11" ht="15">
      <c r="A9" s="27" t="s">
        <v>61</v>
      </c>
      <c r="B9" s="27">
        <v>60</v>
      </c>
      <c r="C9" s="27">
        <v>318</v>
      </c>
      <c r="D9" s="28" t="s">
        <v>137</v>
      </c>
      <c r="E9" s="29" t="s">
        <v>138</v>
      </c>
      <c r="F9" s="27">
        <v>17</v>
      </c>
      <c r="G9" s="37">
        <f>AVERAGE(Summary!U11:U17)</f>
        <v>0.16725441768335172</v>
      </c>
      <c r="H9" s="27" t="s">
        <v>157</v>
      </c>
      <c r="I9" s="27"/>
      <c r="J9" s="30" t="s">
        <v>136</v>
      </c>
    </row>
    <row r="10" spans="1:11" ht="15">
      <c r="A10" s="30" t="s">
        <v>61</v>
      </c>
      <c r="B10" s="30">
        <v>61</v>
      </c>
      <c r="C10" s="27"/>
      <c r="D10" s="28" t="s">
        <v>143</v>
      </c>
      <c r="E10" s="29" t="s">
        <v>144</v>
      </c>
      <c r="F10" s="27">
        <v>29</v>
      </c>
      <c r="G10" s="36">
        <f>AVERAGE(Summary!U27:U30)</f>
        <v>0.2870638091809673</v>
      </c>
      <c r="H10" s="30" t="s">
        <v>142</v>
      </c>
      <c r="I10" s="27"/>
      <c r="J10" s="30" t="s">
        <v>136</v>
      </c>
    </row>
    <row r="11" spans="1:11" ht="15">
      <c r="A11" s="30" t="s">
        <v>61</v>
      </c>
      <c r="B11" s="30">
        <v>62</v>
      </c>
      <c r="C11" s="30">
        <v>324</v>
      </c>
      <c r="D11" s="33" t="s">
        <v>145</v>
      </c>
      <c r="E11" s="30" t="s">
        <v>139</v>
      </c>
      <c r="F11" s="30">
        <v>25</v>
      </c>
      <c r="G11" s="38">
        <f>Summary!X18</f>
        <v>0.25</v>
      </c>
      <c r="H11" s="30" t="s">
        <v>140</v>
      </c>
      <c r="I11" s="30"/>
      <c r="J11" s="30" t="s">
        <v>136</v>
      </c>
      <c r="K11" s="30"/>
    </row>
    <row r="12" spans="1:11" ht="15">
      <c r="A12" s="30" t="s">
        <v>61</v>
      </c>
      <c r="B12" s="30">
        <v>63</v>
      </c>
      <c r="C12" s="30">
        <v>325</v>
      </c>
      <c r="D12" s="33" t="s">
        <v>146</v>
      </c>
      <c r="E12" s="30" t="s">
        <v>141</v>
      </c>
      <c r="F12" s="30">
        <v>37</v>
      </c>
      <c r="G12" s="38">
        <f>Summary!X26</f>
        <v>0.37</v>
      </c>
      <c r="H12" s="30" t="s">
        <v>142</v>
      </c>
      <c r="I12" s="30"/>
      <c r="J12" s="30" t="s">
        <v>136</v>
      </c>
      <c r="K12" s="30"/>
    </row>
    <row r="13" spans="1:11" ht="15">
      <c r="A13" s="30" t="s">
        <v>61</v>
      </c>
      <c r="B13" s="30">
        <v>110</v>
      </c>
      <c r="C13" s="30">
        <v>618</v>
      </c>
      <c r="D13" s="33" t="s">
        <v>153</v>
      </c>
      <c r="E13" s="30" t="s">
        <v>154</v>
      </c>
      <c r="F13" s="30">
        <v>40</v>
      </c>
      <c r="G13" s="43">
        <f>ROUND((Summary!D26-Summary!D18)/(SUM(Summary!C26:H26)-SUM(Summary!C18:H18))*10,0)/10</f>
        <v>0.4</v>
      </c>
      <c r="H13" s="30" t="s">
        <v>155</v>
      </c>
      <c r="I13" s="30"/>
      <c r="J13" s="30" t="s">
        <v>136</v>
      </c>
      <c r="K13" s="30"/>
    </row>
    <row r="14" spans="1:11" ht="15">
      <c r="A14" s="30"/>
      <c r="B14" s="30"/>
      <c r="C14" s="30"/>
      <c r="D14" s="30"/>
      <c r="E14" s="30"/>
      <c r="F14" s="30"/>
      <c r="G14" s="30"/>
      <c r="H14" s="30"/>
      <c r="I14" s="30"/>
      <c r="J14" s="30"/>
      <c r="K14" s="30"/>
    </row>
    <row r="15" spans="1:11" ht="15">
      <c r="A15" s="30"/>
      <c r="B15" s="30"/>
      <c r="C15" s="30"/>
      <c r="D15" s="30"/>
      <c r="E15" s="30"/>
      <c r="F15" s="30"/>
      <c r="G15" s="30"/>
      <c r="H15" s="30"/>
      <c r="I15" s="30"/>
      <c r="J15" s="30"/>
      <c r="K15" s="30"/>
    </row>
    <row r="16" spans="1:11" ht="15">
      <c r="A16" s="30"/>
      <c r="B16" s="30"/>
      <c r="C16" s="30"/>
      <c r="D16" s="30"/>
      <c r="E16" s="30"/>
      <c r="F16" s="30"/>
      <c r="G16" s="30"/>
      <c r="H16" s="30"/>
      <c r="I16" s="30"/>
      <c r="J16" s="30"/>
      <c r="K16" s="30"/>
    </row>
    <row r="17" spans="1:11" ht="15">
      <c r="A17" s="30"/>
      <c r="B17" s="30"/>
      <c r="C17" s="30"/>
      <c r="D17" s="30"/>
      <c r="E17" s="30"/>
      <c r="F17" s="30"/>
      <c r="G17" s="30"/>
      <c r="H17" s="30"/>
      <c r="I17" s="30"/>
      <c r="J17" s="30"/>
      <c r="K17" s="30"/>
    </row>
    <row r="18" spans="1:11" ht="15">
      <c r="A18" s="30"/>
      <c r="B18" s="30"/>
      <c r="C18" s="30"/>
      <c r="D18" s="30"/>
      <c r="E18" s="30"/>
      <c r="F18" s="30"/>
      <c r="G18" s="30"/>
      <c r="H18" s="30"/>
      <c r="I18" s="30"/>
      <c r="J18" s="30"/>
      <c r="K18" s="30"/>
    </row>
    <row r="19" spans="1:11" ht="15">
      <c r="A19" s="30"/>
      <c r="B19" s="30"/>
      <c r="C19" s="30"/>
      <c r="D19" s="30"/>
      <c r="E19" s="30"/>
      <c r="F19" s="30"/>
      <c r="H19" s="30"/>
      <c r="I19" s="30"/>
      <c r="J19" s="30"/>
      <c r="K19" s="30"/>
    </row>
    <row r="20" spans="1:11" ht="15">
      <c r="A20" s="30"/>
      <c r="B20" s="30"/>
      <c r="C20" s="30"/>
      <c r="D20" s="30"/>
      <c r="E20" s="30"/>
      <c r="F20" s="30"/>
      <c r="G20" s="30"/>
      <c r="H20" s="30"/>
      <c r="I20" s="30"/>
      <c r="J20" s="30"/>
      <c r="K20" s="30"/>
    </row>
    <row r="21" spans="1:11" ht="15">
      <c r="A21" s="30"/>
      <c r="B21" s="30"/>
      <c r="C21" s="30"/>
      <c r="D21" s="30"/>
      <c r="E21" s="30"/>
      <c r="F21" s="30"/>
      <c r="G21" s="30"/>
      <c r="H21" s="30"/>
      <c r="I21" s="30"/>
      <c r="J21" s="30"/>
      <c r="K21" s="30"/>
    </row>
    <row r="22" spans="1:11" ht="15">
      <c r="A22" s="30"/>
      <c r="B22" s="30"/>
      <c r="C22" s="30"/>
      <c r="D22" s="30"/>
      <c r="E22" s="30"/>
      <c r="F22" s="30"/>
      <c r="G22" s="30"/>
      <c r="H22" s="30"/>
      <c r="I22" s="30"/>
      <c r="J22" s="30"/>
      <c r="K22" s="30"/>
    </row>
    <row r="23" spans="1:11" ht="15">
      <c r="A23" s="30"/>
      <c r="B23" s="30"/>
      <c r="C23" s="30"/>
      <c r="D23" s="30"/>
      <c r="E23" s="30"/>
      <c r="F23" s="30"/>
      <c r="G23" s="30"/>
      <c r="H23" s="30"/>
      <c r="I23" s="30"/>
      <c r="J23" s="30"/>
      <c r="K23" s="30"/>
    </row>
    <row r="24" spans="1:11" ht="15">
      <c r="A24" s="30"/>
      <c r="B24" s="30"/>
      <c r="C24" s="30"/>
      <c r="D24" s="30"/>
      <c r="E24" s="30"/>
      <c r="F24" s="30"/>
      <c r="G24" s="30"/>
      <c r="H24" s="30"/>
      <c r="I24" s="30"/>
      <c r="J24" s="30"/>
      <c r="K24" s="30"/>
    </row>
    <row r="25" spans="1:11" ht="15">
      <c r="A25" s="30"/>
      <c r="B25" s="30"/>
      <c r="C25" s="30"/>
      <c r="D25" s="30"/>
      <c r="E25" s="30"/>
      <c r="F25" s="30"/>
      <c r="G25" s="30"/>
      <c r="H25" s="30"/>
      <c r="I25" s="30"/>
      <c r="J25" s="30"/>
      <c r="K25" s="30"/>
    </row>
    <row r="26" spans="1:11" ht="15">
      <c r="A26" s="30"/>
      <c r="B26" s="30"/>
      <c r="C26" s="30"/>
      <c r="D26" s="30"/>
      <c r="E26" s="30"/>
      <c r="F26" s="30"/>
      <c r="G26" s="30"/>
      <c r="H26" s="30"/>
      <c r="I26" s="30"/>
      <c r="J26" s="30"/>
      <c r="K26" s="30"/>
    </row>
    <row r="27" spans="1:11" ht="15">
      <c r="A27" s="30"/>
      <c r="B27" s="30"/>
      <c r="C27" s="30"/>
      <c r="D27" s="30"/>
      <c r="E27" s="30"/>
      <c r="F27" s="30"/>
      <c r="G27" s="30"/>
      <c r="H27" s="30"/>
      <c r="I27" s="30"/>
      <c r="J27" s="30"/>
      <c r="K27" s="30"/>
    </row>
    <row r="28" spans="1:11" ht="15">
      <c r="A28" s="30"/>
      <c r="B28" s="30"/>
      <c r="C28" s="30"/>
      <c r="D28" s="30"/>
      <c r="E28" s="30"/>
      <c r="F28" s="30"/>
      <c r="G28" s="30"/>
      <c r="H28" s="30"/>
      <c r="I28" s="30"/>
      <c r="J28" s="30"/>
      <c r="K28" s="30"/>
    </row>
    <row r="29" spans="1:11" ht="15">
      <c r="A29" s="30"/>
      <c r="B29" s="30"/>
      <c r="C29" s="30"/>
      <c r="D29" s="30"/>
      <c r="E29" s="30"/>
      <c r="F29" s="30"/>
      <c r="G29" s="30"/>
      <c r="H29" s="30"/>
      <c r="I29" s="30"/>
      <c r="J29" s="30"/>
      <c r="K29" s="30"/>
    </row>
    <row r="30" spans="1:11" ht="15">
      <c r="A30" s="30"/>
      <c r="B30" s="30"/>
      <c r="C30" s="30"/>
      <c r="D30" s="30"/>
      <c r="E30" s="30"/>
      <c r="F30" s="30"/>
      <c r="G30" s="30"/>
      <c r="H30" s="30"/>
      <c r="I30" s="30"/>
      <c r="J30" s="30"/>
      <c r="K30" s="30"/>
    </row>
    <row r="31" spans="1:11" ht="15">
      <c r="A31" s="30"/>
      <c r="B31" s="30"/>
      <c r="C31" s="30"/>
      <c r="D31" s="30"/>
      <c r="E31" s="30"/>
      <c r="F31" s="30"/>
      <c r="G31" s="30"/>
      <c r="H31" s="30"/>
      <c r="I31" s="30"/>
      <c r="J31" s="30"/>
      <c r="K31" s="30"/>
    </row>
    <row r="32" spans="1:11" ht="15">
      <c r="A32" s="30"/>
      <c r="B32" s="30"/>
      <c r="C32" s="30"/>
      <c r="D32" s="30"/>
      <c r="E32" s="30"/>
      <c r="F32" s="30"/>
      <c r="G32" s="30"/>
      <c r="H32" s="30"/>
      <c r="I32" s="30"/>
      <c r="J32" s="30"/>
      <c r="K32" s="30"/>
    </row>
    <row r="33" spans="1:11" ht="15">
      <c r="A33" s="30"/>
      <c r="B33" s="30"/>
      <c r="C33" s="30"/>
      <c r="D33" s="30"/>
      <c r="E33" s="30"/>
      <c r="F33" s="30"/>
      <c r="G33" s="30"/>
      <c r="H33" s="30"/>
      <c r="I33" s="30"/>
      <c r="J33" s="30"/>
      <c r="K33" s="30"/>
    </row>
    <row r="34" spans="1:11" ht="15">
      <c r="A34" s="30"/>
      <c r="B34" s="30"/>
      <c r="C34" s="30"/>
      <c r="D34" s="30"/>
      <c r="E34" s="30"/>
      <c r="F34" s="30"/>
      <c r="G34" s="30"/>
      <c r="H34" s="30"/>
      <c r="I34" s="30"/>
      <c r="J34" s="30"/>
      <c r="K34" s="30"/>
    </row>
    <row r="35" spans="1:11" ht="15">
      <c r="A35" s="30"/>
      <c r="B35" s="30"/>
      <c r="C35" s="30"/>
      <c r="D35" s="30"/>
      <c r="E35" s="30"/>
      <c r="F35" s="30"/>
      <c r="G35" s="30"/>
      <c r="H35" s="30"/>
      <c r="I35" s="30"/>
      <c r="J35" s="30"/>
      <c r="K35" s="30"/>
    </row>
    <row r="36" spans="1:11" ht="15">
      <c r="A36" s="30"/>
      <c r="B36" s="30"/>
      <c r="C36" s="30"/>
      <c r="D36" s="30"/>
      <c r="E36" s="30"/>
      <c r="F36" s="30"/>
      <c r="G36" s="30"/>
      <c r="H36" s="30"/>
      <c r="I36" s="30"/>
      <c r="J36" s="30"/>
      <c r="K36" s="30"/>
    </row>
    <row r="37" spans="1:11" ht="15">
      <c r="A37" s="30"/>
      <c r="B37" s="30"/>
      <c r="C37" s="30"/>
      <c r="D37" s="30"/>
      <c r="E37" s="30"/>
      <c r="F37" s="30"/>
      <c r="G37" s="30"/>
      <c r="H37" s="30"/>
      <c r="I37" s="30"/>
      <c r="J37" s="30"/>
      <c r="K37" s="30"/>
    </row>
    <row r="38" spans="1:11" ht="15">
      <c r="A38" s="30"/>
      <c r="B38" s="30"/>
      <c r="C38" s="30"/>
      <c r="D38" s="30"/>
      <c r="E38" s="30"/>
      <c r="F38" s="30"/>
      <c r="G38" s="30"/>
      <c r="H38" s="30"/>
      <c r="I38" s="30"/>
      <c r="J38" s="30"/>
      <c r="K38" s="30"/>
    </row>
    <row r="39" spans="1:11" ht="15">
      <c r="A39" s="30"/>
      <c r="B39" s="30"/>
      <c r="C39" s="30"/>
      <c r="D39" s="30"/>
      <c r="E39" s="30"/>
      <c r="F39" s="30"/>
      <c r="G39" s="30"/>
      <c r="H39" s="30"/>
      <c r="I39" s="30"/>
      <c r="J39" s="30"/>
      <c r="K39" s="30"/>
    </row>
    <row r="40" spans="1:11" ht="15">
      <c r="A40" s="30"/>
      <c r="B40" s="30"/>
      <c r="C40" s="30"/>
      <c r="D40" s="30"/>
      <c r="E40" s="30"/>
      <c r="F40" s="30"/>
      <c r="G40" s="30"/>
      <c r="H40" s="30"/>
      <c r="I40" s="30"/>
      <c r="J40" s="30"/>
      <c r="K40" s="30"/>
    </row>
    <row r="41" spans="1:11" ht="15">
      <c r="A41" s="30"/>
      <c r="B41" s="30"/>
      <c r="C41" s="30"/>
      <c r="D41" s="30"/>
      <c r="E41" s="30"/>
      <c r="F41" s="30"/>
      <c r="G41" s="30"/>
      <c r="H41" s="30"/>
      <c r="I41" s="30"/>
      <c r="J41" s="30"/>
      <c r="K41" s="30"/>
    </row>
    <row r="42" spans="1:11" ht="15">
      <c r="A42" s="30"/>
      <c r="B42" s="30"/>
      <c r="C42" s="30"/>
      <c r="D42" s="30"/>
      <c r="E42" s="30"/>
      <c r="F42" s="30"/>
      <c r="G42" s="30"/>
      <c r="H42" s="30"/>
      <c r="I42" s="30"/>
      <c r="J42" s="30"/>
      <c r="K42" s="30"/>
    </row>
    <row r="43" spans="1:11" ht="15">
      <c r="A43" s="30"/>
      <c r="B43" s="30"/>
      <c r="C43" s="30"/>
      <c r="D43" s="30"/>
      <c r="E43" s="30"/>
      <c r="F43" s="30"/>
      <c r="G43" s="30"/>
      <c r="H43" s="30"/>
      <c r="I43" s="30"/>
      <c r="J43" s="30"/>
      <c r="K43" s="30"/>
    </row>
    <row r="44" spans="1:11" ht="15">
      <c r="A44" s="30"/>
      <c r="B44" s="30"/>
      <c r="C44" s="30"/>
      <c r="D44" s="30"/>
      <c r="E44" s="30"/>
      <c r="F44" s="30"/>
      <c r="G44" s="30"/>
      <c r="H44" s="30"/>
      <c r="I44" s="30"/>
      <c r="J44" s="30"/>
      <c r="K44" s="30"/>
    </row>
    <row r="45" spans="1:11" ht="15">
      <c r="A45" s="30"/>
      <c r="B45" s="30"/>
      <c r="C45" s="30"/>
      <c r="D45" s="30"/>
      <c r="E45" s="30"/>
      <c r="F45" s="30"/>
      <c r="G45" s="30"/>
      <c r="H45" s="30"/>
      <c r="I45" s="30"/>
      <c r="J45" s="30"/>
      <c r="K45" s="30"/>
    </row>
    <row r="46" spans="1:11" ht="15">
      <c r="A46" s="30"/>
      <c r="B46" s="30"/>
      <c r="C46" s="30"/>
      <c r="D46" s="30"/>
      <c r="E46" s="30"/>
      <c r="F46" s="30"/>
      <c r="G46" s="30"/>
      <c r="H46" s="30"/>
      <c r="I46" s="30"/>
      <c r="J46" s="30"/>
      <c r="K46" s="30"/>
    </row>
    <row r="47" spans="1:11" ht="15">
      <c r="A47" s="30"/>
      <c r="B47" s="30"/>
      <c r="C47" s="30"/>
      <c r="D47" s="30"/>
      <c r="E47" s="30"/>
      <c r="F47" s="30"/>
      <c r="G47" s="30"/>
      <c r="H47" s="30"/>
      <c r="I47" s="30"/>
      <c r="J47" s="30"/>
      <c r="K47" s="30"/>
    </row>
    <row r="48" spans="1:11" ht="15">
      <c r="A48" s="30"/>
      <c r="B48" s="30"/>
      <c r="C48" s="30"/>
      <c r="D48" s="30"/>
      <c r="E48" s="30"/>
      <c r="F48" s="30"/>
      <c r="G48" s="30"/>
      <c r="H48" s="30"/>
      <c r="I48" s="30"/>
      <c r="J48" s="30"/>
      <c r="K48" s="30"/>
    </row>
    <row r="49" spans="1:11" ht="15">
      <c r="A49" s="30"/>
      <c r="B49" s="30"/>
      <c r="C49" s="30"/>
      <c r="D49" s="30"/>
      <c r="E49" s="30"/>
      <c r="F49" s="30"/>
      <c r="G49" s="30"/>
      <c r="H49" s="30"/>
      <c r="I49" s="30"/>
      <c r="J49" s="30"/>
      <c r="K49" s="30"/>
    </row>
    <row r="50" spans="1:11" ht="15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</row>
    <row r="51" spans="1:11" ht="15">
      <c r="A51" s="30"/>
      <c r="B51" s="30"/>
      <c r="C51" s="30"/>
      <c r="D51" s="30"/>
      <c r="E51" s="30"/>
      <c r="F51" s="30"/>
      <c r="G51" s="30"/>
      <c r="H51" s="30"/>
      <c r="I51" s="30"/>
      <c r="J51" s="30"/>
      <c r="K51" s="30"/>
    </row>
    <row r="52" spans="1:11" ht="15">
      <c r="A52" s="30"/>
      <c r="B52" s="30"/>
      <c r="C52" s="30"/>
      <c r="D52" s="30"/>
      <c r="E52" s="30"/>
      <c r="F52" s="30"/>
      <c r="G52" s="30"/>
      <c r="H52" s="30"/>
      <c r="I52" s="30"/>
      <c r="J52" s="30"/>
      <c r="K52" s="30"/>
    </row>
    <row r="53" spans="1:11" ht="15">
      <c r="A53" s="30"/>
      <c r="B53" s="30"/>
      <c r="C53" s="30"/>
      <c r="D53" s="30"/>
      <c r="E53" s="30"/>
      <c r="F53" s="30"/>
      <c r="G53" s="30"/>
      <c r="H53" s="30"/>
      <c r="I53" s="30"/>
      <c r="J53" s="30"/>
      <c r="K53" s="30"/>
    </row>
    <row r="54" spans="1:11" ht="15">
      <c r="A54" s="30"/>
      <c r="B54" s="30"/>
      <c r="C54" s="30"/>
      <c r="D54" s="30"/>
      <c r="E54" s="30"/>
      <c r="F54" s="30"/>
      <c r="G54" s="30"/>
      <c r="H54" s="30"/>
      <c r="I54" s="30"/>
      <c r="J54" s="30"/>
      <c r="K54" s="30"/>
    </row>
    <row r="55" spans="1:11" ht="15">
      <c r="A55" s="30"/>
      <c r="B55" s="30"/>
      <c r="C55" s="30"/>
      <c r="D55" s="30"/>
      <c r="E55" s="30"/>
      <c r="F55" s="30"/>
      <c r="G55" s="30"/>
      <c r="H55" s="30"/>
      <c r="I55" s="30"/>
      <c r="J55" s="30"/>
      <c r="K55" s="30"/>
    </row>
    <row r="56" spans="1:11" ht="15">
      <c r="A56" s="30"/>
      <c r="B56" s="30"/>
      <c r="C56" s="30"/>
      <c r="D56" s="30"/>
      <c r="E56" s="30"/>
      <c r="F56" s="30"/>
      <c r="G56" s="30"/>
      <c r="H56" s="30"/>
      <c r="I56" s="30"/>
      <c r="J56" s="30"/>
      <c r="K56" s="30"/>
    </row>
    <row r="57" spans="1:11" ht="15">
      <c r="A57" s="30"/>
      <c r="B57" s="30"/>
      <c r="C57" s="30"/>
      <c r="D57" s="30"/>
      <c r="E57" s="30"/>
      <c r="F57" s="30"/>
      <c r="G57" s="30"/>
      <c r="H57" s="30"/>
      <c r="I57" s="30"/>
      <c r="J57" s="30"/>
      <c r="K57" s="30"/>
    </row>
    <row r="58" spans="1:11" ht="15">
      <c r="A58" s="30"/>
      <c r="B58" s="30"/>
      <c r="C58" s="30"/>
      <c r="D58" s="30"/>
      <c r="E58" s="30"/>
      <c r="F58" s="30"/>
      <c r="G58" s="30"/>
      <c r="H58" s="30"/>
      <c r="I58" s="30"/>
      <c r="J58" s="30"/>
      <c r="K58" s="30"/>
    </row>
    <row r="59" spans="1:11" ht="15">
      <c r="A59" s="30"/>
      <c r="B59" s="30"/>
      <c r="C59" s="30"/>
      <c r="D59" s="30"/>
      <c r="E59" s="30"/>
      <c r="F59" s="30"/>
      <c r="G59" s="30"/>
      <c r="H59" s="30"/>
      <c r="I59" s="30"/>
      <c r="J59" s="30"/>
      <c r="K59" s="30"/>
    </row>
    <row r="60" spans="1:11" ht="15">
      <c r="A60" s="30"/>
      <c r="B60" s="30"/>
      <c r="C60" s="30"/>
      <c r="D60" s="30"/>
      <c r="E60" s="30"/>
      <c r="F60" s="30"/>
      <c r="G60" s="30"/>
      <c r="H60" s="30"/>
      <c r="I60" s="30"/>
      <c r="J60" s="30"/>
      <c r="K60" s="30"/>
    </row>
    <row r="61" spans="1:11" ht="15">
      <c r="A61" s="30"/>
      <c r="B61" s="30"/>
      <c r="C61" s="30"/>
      <c r="D61" s="30"/>
      <c r="E61" s="30"/>
      <c r="F61" s="30"/>
      <c r="G61" s="30"/>
      <c r="H61" s="30"/>
      <c r="I61" s="30"/>
      <c r="J61" s="30"/>
      <c r="K61" s="30"/>
    </row>
    <row r="62" spans="1:11" ht="15">
      <c r="A62" s="30"/>
      <c r="B62" s="30"/>
      <c r="C62" s="30"/>
      <c r="D62" s="30"/>
      <c r="E62" s="30"/>
      <c r="F62" s="30"/>
      <c r="G62" s="30"/>
      <c r="H62" s="30"/>
      <c r="I62" s="30"/>
      <c r="J62" s="30"/>
      <c r="K62" s="30"/>
    </row>
    <row r="63" spans="1:11" ht="15">
      <c r="A63" s="30"/>
      <c r="B63" s="30"/>
      <c r="C63" s="30"/>
      <c r="D63" s="30"/>
      <c r="E63" s="30"/>
      <c r="F63" s="30"/>
      <c r="G63" s="30"/>
      <c r="H63" s="30"/>
      <c r="I63" s="30"/>
      <c r="J63" s="30"/>
      <c r="K63" s="30"/>
    </row>
    <row r="64" spans="1:11" ht="15">
      <c r="A64" s="30"/>
      <c r="B64" s="30"/>
      <c r="C64" s="30"/>
      <c r="D64" s="30"/>
      <c r="E64" s="30"/>
      <c r="F64" s="30"/>
      <c r="G64" s="30"/>
      <c r="H64" s="30"/>
      <c r="I64" s="30"/>
      <c r="J64" s="30"/>
      <c r="K64" s="30"/>
    </row>
    <row r="65" spans="1:11" ht="15">
      <c r="A65" s="30"/>
      <c r="B65" s="30"/>
      <c r="C65" s="30"/>
      <c r="D65" s="30"/>
      <c r="E65" s="30"/>
      <c r="F65" s="30"/>
      <c r="G65" s="30"/>
      <c r="H65" s="30"/>
      <c r="I65" s="30"/>
      <c r="J65" s="30"/>
      <c r="K65" s="30"/>
    </row>
    <row r="66" spans="1:11" ht="15">
      <c r="A66" s="30"/>
      <c r="B66" s="30"/>
      <c r="C66" s="30"/>
      <c r="D66" s="30"/>
      <c r="E66" s="30"/>
      <c r="F66" s="30"/>
      <c r="G66" s="30"/>
      <c r="H66" s="30"/>
      <c r="I66" s="30"/>
      <c r="J66" s="30"/>
      <c r="K66" s="30"/>
    </row>
    <row r="67" spans="1:11" ht="15">
      <c r="A67" s="30"/>
      <c r="B67" s="30"/>
      <c r="C67" s="30"/>
      <c r="D67" s="30"/>
      <c r="E67" s="30"/>
      <c r="F67" s="30"/>
      <c r="G67" s="30"/>
      <c r="H67" s="30"/>
      <c r="I67" s="30"/>
      <c r="J67" s="30"/>
      <c r="K67" s="30"/>
    </row>
    <row r="68" spans="1:11" ht="15">
      <c r="A68" s="30"/>
      <c r="B68" s="30"/>
      <c r="C68" s="30"/>
      <c r="D68" s="30"/>
      <c r="E68" s="30"/>
      <c r="F68" s="30"/>
      <c r="G68" s="30"/>
      <c r="H68" s="30"/>
      <c r="I68" s="30"/>
      <c r="J68" s="30"/>
      <c r="K68" s="30"/>
    </row>
    <row r="69" spans="1:11" ht="15">
      <c r="A69" s="30"/>
      <c r="B69" s="30"/>
      <c r="C69" s="30"/>
      <c r="D69" s="30"/>
      <c r="E69" s="30"/>
      <c r="F69" s="30"/>
      <c r="G69" s="30"/>
      <c r="H69" s="30"/>
      <c r="I69" s="30"/>
      <c r="J69" s="30"/>
      <c r="K69" s="30"/>
    </row>
    <row r="70" spans="1:11" ht="15">
      <c r="A70" s="30"/>
      <c r="B70" s="30"/>
      <c r="C70" s="30"/>
      <c r="D70" s="30"/>
      <c r="E70" s="30"/>
      <c r="F70" s="30"/>
      <c r="G70" s="30"/>
      <c r="H70" s="30"/>
      <c r="I70" s="30"/>
      <c r="J70" s="30"/>
      <c r="K70" s="30"/>
    </row>
    <row r="71" spans="1:11" ht="15">
      <c r="A71" s="30"/>
      <c r="B71" s="30"/>
      <c r="C71" s="30"/>
      <c r="D71" s="30"/>
      <c r="E71" s="30"/>
      <c r="F71" s="30"/>
      <c r="G71" s="30"/>
      <c r="H71" s="30"/>
      <c r="I71" s="30"/>
      <c r="J71" s="30"/>
      <c r="K71" s="30"/>
    </row>
    <row r="72" spans="1:11" ht="15">
      <c r="A72" s="30"/>
      <c r="B72" s="30"/>
      <c r="C72" s="30"/>
      <c r="D72" s="30"/>
      <c r="E72" s="30"/>
      <c r="F72" s="30"/>
      <c r="G72" s="30"/>
      <c r="H72" s="30"/>
      <c r="I72" s="30"/>
      <c r="J72" s="30"/>
      <c r="K72" s="30"/>
    </row>
    <row r="73" spans="1:11" ht="15">
      <c r="A73" s="30"/>
      <c r="B73" s="30"/>
      <c r="C73" s="30"/>
      <c r="D73" s="30"/>
      <c r="E73" s="30"/>
      <c r="F73" s="30"/>
      <c r="G73" s="30"/>
      <c r="H73" s="30"/>
      <c r="I73" s="30"/>
      <c r="J73" s="30"/>
      <c r="K73" s="30"/>
    </row>
    <row r="74" spans="1:11" ht="15">
      <c r="A74" s="30"/>
      <c r="B74" s="30"/>
      <c r="C74" s="30"/>
      <c r="D74" s="30"/>
      <c r="E74" s="30"/>
      <c r="F74" s="30"/>
      <c r="G74" s="30"/>
      <c r="H74" s="30"/>
      <c r="I74" s="30"/>
      <c r="J74" s="30"/>
      <c r="K74" s="30"/>
    </row>
    <row r="75" spans="1:11" ht="15">
      <c r="A75" s="30"/>
      <c r="B75" s="30"/>
      <c r="C75" s="30"/>
      <c r="D75" s="30"/>
      <c r="E75" s="30"/>
      <c r="F75" s="30"/>
      <c r="G75" s="30"/>
      <c r="H75" s="30"/>
      <c r="I75" s="30"/>
      <c r="J75" s="30"/>
      <c r="K75" s="30"/>
    </row>
    <row r="76" spans="1:11" ht="15">
      <c r="A76" s="30"/>
      <c r="B76" s="30"/>
      <c r="C76" s="30"/>
      <c r="D76" s="30"/>
      <c r="E76" s="30"/>
      <c r="F76" s="30"/>
      <c r="G76" s="30"/>
      <c r="H76" s="30"/>
      <c r="I76" s="30"/>
      <c r="J76" s="30"/>
      <c r="K76" s="30"/>
    </row>
    <row r="77" spans="1:11" ht="15">
      <c r="A77" s="30"/>
      <c r="B77" s="30"/>
      <c r="C77" s="30"/>
      <c r="D77" s="30"/>
      <c r="E77" s="30"/>
      <c r="F77" s="30"/>
      <c r="G77" s="30"/>
      <c r="H77" s="30"/>
      <c r="I77" s="30"/>
      <c r="J77" s="30"/>
      <c r="K77" s="30"/>
    </row>
    <row r="78" spans="1:11" ht="15">
      <c r="A78" s="30"/>
      <c r="B78" s="30"/>
      <c r="C78" s="30"/>
      <c r="D78" s="30"/>
      <c r="E78" s="30"/>
      <c r="F78" s="30"/>
      <c r="G78" s="30"/>
      <c r="H78" s="30"/>
      <c r="I78" s="30"/>
      <c r="J78" s="30"/>
      <c r="K78" s="30"/>
    </row>
    <row r="79" spans="1:11" ht="15">
      <c r="A79" s="30"/>
      <c r="B79" s="30"/>
      <c r="C79" s="30"/>
      <c r="D79" s="30"/>
      <c r="E79" s="30"/>
      <c r="F79" s="30"/>
      <c r="G79" s="30"/>
      <c r="H79" s="30"/>
      <c r="I79" s="30"/>
      <c r="J79" s="30"/>
      <c r="K79" s="30"/>
    </row>
    <row r="80" spans="1:11" ht="15">
      <c r="A80" s="30"/>
      <c r="B80" s="30"/>
      <c r="C80" s="30"/>
      <c r="D80" s="30"/>
      <c r="E80" s="30"/>
      <c r="F80" s="30"/>
      <c r="G80" s="30"/>
      <c r="H80" s="30"/>
      <c r="I80" s="30"/>
      <c r="J80" s="30"/>
      <c r="K80" s="30"/>
    </row>
    <row r="81" spans="1:11" ht="15">
      <c r="A81" s="30"/>
      <c r="B81" s="30"/>
      <c r="C81" s="30"/>
      <c r="D81" s="30"/>
      <c r="E81" s="30"/>
      <c r="F81" s="30"/>
      <c r="G81" s="30"/>
      <c r="H81" s="30"/>
      <c r="I81" s="30"/>
      <c r="J81" s="30"/>
      <c r="K81" s="30"/>
    </row>
    <row r="82" spans="1:11" ht="15">
      <c r="A82" s="30"/>
      <c r="B82" s="30"/>
      <c r="C82" s="30"/>
      <c r="D82" s="30"/>
      <c r="E82" s="30"/>
      <c r="F82" s="30"/>
      <c r="G82" s="30"/>
      <c r="H82" s="30"/>
      <c r="I82" s="30"/>
      <c r="J82" s="30"/>
      <c r="K82" s="30"/>
    </row>
    <row r="83" spans="1:11" ht="15">
      <c r="A83" s="30"/>
      <c r="B83" s="30"/>
      <c r="C83" s="30"/>
      <c r="D83" s="30"/>
      <c r="E83" s="30"/>
      <c r="F83" s="30"/>
      <c r="G83" s="30"/>
      <c r="H83" s="30"/>
      <c r="I83" s="30"/>
      <c r="J83" s="30"/>
      <c r="K83" s="30"/>
    </row>
    <row r="84" spans="1:11" ht="15">
      <c r="A84" s="30"/>
      <c r="B84" s="30"/>
      <c r="C84" s="30"/>
      <c r="D84" s="30"/>
      <c r="E84" s="30"/>
      <c r="F84" s="30"/>
      <c r="G84" s="30"/>
      <c r="H84" s="30"/>
      <c r="I84" s="30"/>
      <c r="J84" s="30"/>
      <c r="K84" s="30"/>
    </row>
    <row r="85" spans="1:11" ht="15">
      <c r="A85" s="30"/>
      <c r="B85" s="30"/>
      <c r="C85" s="30"/>
      <c r="D85" s="30"/>
      <c r="E85" s="30"/>
      <c r="F85" s="30"/>
      <c r="G85" s="30"/>
      <c r="H85" s="30"/>
      <c r="I85" s="30"/>
      <c r="J85" s="30"/>
      <c r="K85" s="30"/>
    </row>
    <row r="86" spans="1:11" ht="15">
      <c r="A86" s="30"/>
      <c r="B86" s="30"/>
      <c r="C86" s="30"/>
      <c r="D86" s="30"/>
      <c r="E86" s="30"/>
      <c r="F86" s="30"/>
      <c r="G86" s="30"/>
      <c r="H86" s="30"/>
      <c r="I86" s="30"/>
      <c r="J86" s="30"/>
      <c r="K86" s="30"/>
    </row>
    <row r="87" spans="1:11" ht="15">
      <c r="A87" s="30"/>
      <c r="B87" s="30"/>
      <c r="C87" s="30"/>
      <c r="D87" s="30"/>
      <c r="E87" s="30"/>
      <c r="F87" s="30"/>
      <c r="G87" s="30"/>
      <c r="H87" s="30"/>
      <c r="I87" s="30"/>
      <c r="J87" s="30"/>
      <c r="K87" s="30"/>
    </row>
    <row r="88" spans="1:11" ht="15">
      <c r="A88" s="30"/>
      <c r="B88" s="30"/>
      <c r="C88" s="30"/>
      <c r="D88" s="30"/>
      <c r="E88" s="30"/>
      <c r="F88" s="30"/>
      <c r="G88" s="30"/>
      <c r="H88" s="30"/>
      <c r="I88" s="30"/>
      <c r="J88" s="30"/>
      <c r="K88" s="30"/>
    </row>
    <row r="89" spans="1:11" ht="15">
      <c r="A89" s="30"/>
      <c r="B89" s="30"/>
      <c r="C89" s="30"/>
      <c r="D89" s="30"/>
      <c r="E89" s="30"/>
      <c r="F89" s="30"/>
      <c r="G89" s="30"/>
      <c r="H89" s="30"/>
      <c r="I89" s="30"/>
      <c r="J89" s="30"/>
      <c r="K89" s="30"/>
    </row>
    <row r="90" spans="1:11" ht="15">
      <c r="A90" s="30"/>
      <c r="B90" s="30"/>
      <c r="C90" s="30"/>
      <c r="D90" s="30"/>
      <c r="E90" s="30"/>
      <c r="F90" s="30"/>
      <c r="G90" s="30"/>
      <c r="H90" s="30"/>
      <c r="I90" s="30"/>
      <c r="J90" s="30"/>
      <c r="K90" s="30"/>
    </row>
    <row r="91" spans="1:11" ht="15">
      <c r="A91" s="30"/>
      <c r="B91" s="30"/>
      <c r="C91" s="30"/>
      <c r="D91" s="30"/>
      <c r="E91" s="30"/>
      <c r="F91" s="30"/>
      <c r="G91" s="30"/>
      <c r="H91" s="30"/>
      <c r="I91" s="30"/>
      <c r="J91" s="30"/>
      <c r="K91" s="30"/>
    </row>
    <row r="92" spans="1:11" ht="15">
      <c r="A92" s="30"/>
      <c r="B92" s="30"/>
      <c r="C92" s="30"/>
      <c r="D92" s="30"/>
      <c r="E92" s="30"/>
      <c r="F92" s="30"/>
      <c r="G92" s="30"/>
      <c r="H92" s="30"/>
      <c r="I92" s="30"/>
      <c r="J92" s="30"/>
      <c r="K92" s="30"/>
    </row>
    <row r="93" spans="1:11" ht="15">
      <c r="A93" s="30"/>
      <c r="B93" s="30"/>
      <c r="C93" s="30"/>
      <c r="D93" s="30"/>
      <c r="E93" s="30"/>
      <c r="F93" s="30"/>
      <c r="G93" s="30"/>
      <c r="H93" s="30"/>
      <c r="I93" s="30"/>
      <c r="J93" s="30"/>
      <c r="K93" s="30"/>
    </row>
    <row r="94" spans="1:11" ht="15">
      <c r="A94" s="30"/>
      <c r="B94" s="30"/>
      <c r="C94" s="30"/>
      <c r="D94" s="30"/>
      <c r="E94" s="30"/>
      <c r="F94" s="30"/>
      <c r="G94" s="30"/>
      <c r="H94" s="30"/>
      <c r="I94" s="30"/>
      <c r="J94" s="30"/>
      <c r="K94" s="30"/>
    </row>
    <row r="95" spans="1:11" ht="15">
      <c r="A95" s="30"/>
      <c r="B95" s="30"/>
      <c r="C95" s="30"/>
      <c r="D95" s="30"/>
      <c r="E95" s="30"/>
      <c r="F95" s="30"/>
      <c r="G95" s="30"/>
      <c r="H95" s="30"/>
      <c r="I95" s="30"/>
      <c r="J95" s="30"/>
      <c r="K95" s="30"/>
    </row>
    <row r="96" spans="1:11" ht="15">
      <c r="A96" s="30"/>
      <c r="B96" s="30"/>
      <c r="C96" s="30"/>
      <c r="D96" s="30"/>
      <c r="E96" s="30"/>
      <c r="F96" s="30"/>
      <c r="G96" s="30"/>
      <c r="H96" s="30"/>
      <c r="I96" s="30"/>
      <c r="J96" s="30"/>
      <c r="K96" s="30"/>
    </row>
    <row r="97" spans="1:11" ht="15">
      <c r="A97" s="30"/>
      <c r="B97" s="30"/>
      <c r="C97" s="30"/>
      <c r="D97" s="30"/>
      <c r="E97" s="30"/>
      <c r="F97" s="30"/>
      <c r="G97" s="30"/>
      <c r="H97" s="30"/>
      <c r="I97" s="30"/>
      <c r="J97" s="30"/>
      <c r="K97" s="30"/>
    </row>
    <row r="98" spans="1:11" ht="15">
      <c r="A98" s="30"/>
      <c r="B98" s="30"/>
      <c r="C98" s="30"/>
      <c r="D98" s="30"/>
      <c r="E98" s="30"/>
      <c r="F98" s="30"/>
      <c r="G98" s="30"/>
      <c r="H98" s="30"/>
      <c r="I98" s="30"/>
      <c r="J98" s="30"/>
      <c r="K98" s="30"/>
    </row>
    <row r="99" spans="1:11" ht="15">
      <c r="A99" s="30"/>
      <c r="B99" s="30"/>
      <c r="C99" s="30"/>
      <c r="D99" s="30"/>
      <c r="E99" s="30"/>
      <c r="F99" s="30"/>
      <c r="G99" s="30"/>
      <c r="H99" s="30"/>
      <c r="I99" s="30"/>
      <c r="J99" s="30"/>
      <c r="K99" s="30"/>
    </row>
    <row r="100" spans="1:11" ht="15">
      <c r="A100" s="30"/>
      <c r="B100" s="30"/>
      <c r="C100" s="30"/>
      <c r="D100" s="30"/>
      <c r="E100" s="30"/>
      <c r="F100" s="30"/>
      <c r="G100" s="30"/>
      <c r="H100" s="30"/>
      <c r="I100" s="30"/>
      <c r="J100" s="30"/>
      <c r="K100" s="30"/>
    </row>
    <row r="101" spans="1:11" ht="15">
      <c r="A101" s="30"/>
      <c r="B101" s="30"/>
      <c r="C101" s="30"/>
      <c r="D101" s="30"/>
      <c r="E101" s="30"/>
      <c r="F101" s="30"/>
      <c r="G101" s="30"/>
      <c r="H101" s="30"/>
      <c r="I101" s="30"/>
      <c r="J101" s="30"/>
      <c r="K101" s="30"/>
    </row>
    <row r="102" spans="1:11" ht="15">
      <c r="A102" s="30"/>
      <c r="B102" s="30"/>
      <c r="C102" s="30"/>
      <c r="D102" s="30"/>
      <c r="E102" s="30"/>
      <c r="F102" s="30"/>
      <c r="G102" s="30"/>
      <c r="H102" s="30"/>
      <c r="I102" s="30"/>
      <c r="J102" s="30"/>
      <c r="K102" s="30"/>
    </row>
    <row r="103" spans="1:11" ht="15">
      <c r="A103" s="30"/>
      <c r="B103" s="30"/>
      <c r="C103" s="30"/>
      <c r="D103" s="30"/>
      <c r="E103" s="30"/>
      <c r="F103" s="30"/>
      <c r="G103" s="30"/>
      <c r="H103" s="30"/>
      <c r="I103" s="30"/>
      <c r="J103" s="30"/>
      <c r="K103" s="30"/>
    </row>
    <row r="104" spans="1:11" ht="15">
      <c r="A104" s="30"/>
      <c r="B104" s="30"/>
      <c r="C104" s="30"/>
      <c r="D104" s="30"/>
      <c r="E104" s="30"/>
      <c r="F104" s="30"/>
      <c r="G104" s="30"/>
      <c r="H104" s="30"/>
      <c r="I104" s="30"/>
      <c r="J104" s="30"/>
      <c r="K104" s="30"/>
    </row>
    <row r="105" spans="1:11" ht="15">
      <c r="A105" s="30"/>
      <c r="B105" s="30"/>
      <c r="C105" s="30"/>
      <c r="D105" s="30"/>
      <c r="E105" s="30"/>
      <c r="F105" s="30"/>
      <c r="G105" s="30"/>
      <c r="H105" s="30"/>
      <c r="I105" s="30"/>
      <c r="J105" s="30"/>
      <c r="K105" s="30"/>
    </row>
    <row r="106" spans="1:11" ht="15">
      <c r="A106" s="30"/>
      <c r="B106" s="30"/>
      <c r="C106" s="30"/>
      <c r="D106" s="30"/>
      <c r="E106" s="30"/>
      <c r="F106" s="30"/>
      <c r="G106" s="30"/>
      <c r="H106" s="30"/>
      <c r="I106" s="30"/>
      <c r="J106" s="30"/>
      <c r="K106" s="30"/>
    </row>
    <row r="107" spans="1:11" ht="15">
      <c r="A107" s="30"/>
      <c r="B107" s="30"/>
      <c r="C107" s="30"/>
      <c r="D107" s="30"/>
      <c r="E107" s="30"/>
      <c r="F107" s="30"/>
      <c r="G107" s="30"/>
      <c r="H107" s="30"/>
      <c r="I107" s="30"/>
      <c r="J107" s="30"/>
      <c r="K107" s="30"/>
    </row>
    <row r="108" spans="1:11" ht="15">
      <c r="A108" s="30"/>
      <c r="B108" s="30"/>
      <c r="C108" s="30"/>
      <c r="D108" s="30"/>
      <c r="E108" s="30"/>
      <c r="F108" s="30"/>
      <c r="G108" s="30"/>
      <c r="H108" s="30"/>
      <c r="I108" s="30"/>
      <c r="J108" s="30"/>
      <c r="K108" s="30"/>
    </row>
    <row r="109" spans="1:11" ht="15">
      <c r="A109" s="30"/>
      <c r="B109" s="30"/>
      <c r="C109" s="30"/>
      <c r="D109" s="30"/>
      <c r="E109" s="30"/>
      <c r="F109" s="30"/>
      <c r="G109" s="30"/>
      <c r="H109" s="30"/>
      <c r="I109" s="30"/>
      <c r="J109" s="30"/>
      <c r="K109" s="30"/>
    </row>
    <row r="110" spans="1:11" ht="15">
      <c r="A110" s="30"/>
      <c r="B110" s="30"/>
      <c r="C110" s="30"/>
      <c r="D110" s="30"/>
      <c r="E110" s="30"/>
      <c r="F110" s="30"/>
      <c r="G110" s="30"/>
      <c r="H110" s="30"/>
      <c r="I110" s="30"/>
      <c r="J110" s="30"/>
      <c r="K110" s="30"/>
    </row>
    <row r="111" spans="1:11" ht="15">
      <c r="A111" s="30"/>
      <c r="B111" s="30"/>
      <c r="C111" s="30"/>
      <c r="D111" s="30"/>
      <c r="E111" s="30"/>
      <c r="F111" s="30"/>
      <c r="G111" s="30"/>
      <c r="H111" s="30"/>
      <c r="I111" s="30"/>
      <c r="J111" s="30"/>
      <c r="K111" s="30"/>
    </row>
    <row r="112" spans="1:11" ht="15">
      <c r="A112" s="30"/>
      <c r="B112" s="30"/>
      <c r="C112" s="30"/>
      <c r="D112" s="30"/>
      <c r="E112" s="30"/>
      <c r="F112" s="30"/>
      <c r="G112" s="30"/>
      <c r="H112" s="30"/>
      <c r="I112" s="30"/>
      <c r="J112" s="30"/>
      <c r="K112" s="30"/>
    </row>
    <row r="113" spans="1:11" ht="15">
      <c r="A113" s="30"/>
      <c r="B113" s="30"/>
      <c r="C113" s="30"/>
      <c r="D113" s="30"/>
      <c r="E113" s="30"/>
      <c r="F113" s="30"/>
      <c r="G113" s="30"/>
      <c r="H113" s="30"/>
      <c r="I113" s="30"/>
      <c r="J113" s="30"/>
      <c r="K113" s="30"/>
    </row>
    <row r="114" spans="1:11" ht="15">
      <c r="A114" s="30"/>
      <c r="B114" s="30"/>
      <c r="C114" s="30"/>
      <c r="D114" s="30"/>
      <c r="E114" s="30"/>
      <c r="F114" s="30"/>
      <c r="G114" s="30"/>
      <c r="H114" s="30"/>
      <c r="I114" s="30"/>
      <c r="J114" s="30"/>
      <c r="K114" s="30"/>
    </row>
    <row r="115" spans="1:11" ht="15">
      <c r="A115" s="30"/>
      <c r="B115" s="30"/>
      <c r="C115" s="30"/>
      <c r="D115" s="30"/>
      <c r="E115" s="30"/>
      <c r="F115" s="30"/>
      <c r="G115" s="30"/>
      <c r="H115" s="30"/>
      <c r="I115" s="30"/>
      <c r="J115" s="30"/>
      <c r="K115" s="30"/>
    </row>
    <row r="116" spans="1:11" ht="15">
      <c r="A116" s="30"/>
      <c r="B116" s="30"/>
      <c r="C116" s="30"/>
      <c r="D116" s="30"/>
      <c r="E116" s="30"/>
      <c r="F116" s="30"/>
      <c r="G116" s="30"/>
      <c r="H116" s="30"/>
      <c r="I116" s="30"/>
      <c r="J116" s="30"/>
      <c r="K116" s="30"/>
    </row>
    <row r="117" spans="1:11" ht="15">
      <c r="A117" s="30"/>
      <c r="B117" s="30"/>
      <c r="C117" s="30"/>
      <c r="D117" s="30"/>
      <c r="E117" s="30"/>
      <c r="F117" s="30"/>
      <c r="G117" s="30"/>
      <c r="H117" s="30"/>
      <c r="I117" s="30"/>
      <c r="J117" s="30"/>
      <c r="K117" s="30"/>
    </row>
    <row r="118" spans="1:11" ht="15">
      <c r="A118" s="30"/>
      <c r="B118" s="30"/>
      <c r="C118" s="30"/>
      <c r="D118" s="30"/>
      <c r="E118" s="30"/>
      <c r="F118" s="30"/>
      <c r="G118" s="30"/>
      <c r="H118" s="30"/>
      <c r="I118" s="30"/>
      <c r="J118" s="30"/>
      <c r="K118" s="30"/>
    </row>
    <row r="119" spans="1:11" ht="15">
      <c r="A119" s="30"/>
      <c r="B119" s="30"/>
      <c r="C119" s="30"/>
      <c r="D119" s="30"/>
      <c r="E119" s="30"/>
      <c r="F119" s="30"/>
      <c r="G119" s="30"/>
      <c r="H119" s="30"/>
      <c r="I119" s="30"/>
      <c r="J119" s="30"/>
      <c r="K119" s="30"/>
    </row>
    <row r="120" spans="1:11" ht="15">
      <c r="A120" s="30"/>
      <c r="B120" s="30"/>
      <c r="C120" s="30"/>
      <c r="D120" s="30"/>
      <c r="E120" s="30"/>
      <c r="F120" s="30"/>
      <c r="G120" s="30"/>
      <c r="H120" s="30"/>
      <c r="I120" s="30"/>
      <c r="J120" s="30"/>
      <c r="K120" s="30"/>
    </row>
    <row r="121" spans="1:11" ht="15">
      <c r="A121" s="30"/>
      <c r="B121" s="30"/>
      <c r="C121" s="30"/>
      <c r="D121" s="30"/>
      <c r="E121" s="30"/>
      <c r="F121" s="30"/>
      <c r="G121" s="30"/>
      <c r="H121" s="30"/>
      <c r="I121" s="30"/>
      <c r="J121" s="30"/>
      <c r="K121" s="30"/>
    </row>
    <row r="122" spans="1:11" ht="15">
      <c r="A122" s="30"/>
      <c r="B122" s="30"/>
      <c r="C122" s="30"/>
      <c r="D122" s="30"/>
      <c r="E122" s="30"/>
      <c r="F122" s="30"/>
      <c r="G122" s="30"/>
      <c r="H122" s="30"/>
      <c r="I122" s="30"/>
      <c r="J122" s="30"/>
      <c r="K122" s="30"/>
    </row>
    <row r="123" spans="1:11" ht="15">
      <c r="A123" s="30"/>
      <c r="B123" s="30"/>
      <c r="C123" s="30"/>
      <c r="D123" s="30"/>
      <c r="E123" s="30"/>
      <c r="F123" s="30"/>
      <c r="G123" s="30"/>
      <c r="H123" s="30"/>
      <c r="I123" s="30"/>
      <c r="J123" s="30"/>
      <c r="K123" s="30"/>
    </row>
    <row r="124" spans="1:11" ht="15">
      <c r="A124" s="30"/>
      <c r="B124" s="30"/>
      <c r="C124" s="30"/>
      <c r="D124" s="30"/>
      <c r="E124" s="30"/>
      <c r="F124" s="30"/>
      <c r="G124" s="30"/>
      <c r="H124" s="30"/>
      <c r="I124" s="30"/>
      <c r="J124" s="30"/>
      <c r="K124" s="30"/>
    </row>
    <row r="125" spans="1:11" ht="15">
      <c r="A125" s="30"/>
      <c r="B125" s="30"/>
      <c r="C125" s="30"/>
      <c r="D125" s="30"/>
      <c r="E125" s="30"/>
      <c r="F125" s="30"/>
      <c r="G125" s="30"/>
      <c r="H125" s="30"/>
      <c r="I125" s="30"/>
      <c r="J125" s="30"/>
      <c r="K125" s="30"/>
    </row>
    <row r="126" spans="1:11" ht="15">
      <c r="A126" s="30"/>
      <c r="B126" s="30"/>
      <c r="C126" s="30"/>
      <c r="D126" s="30"/>
      <c r="E126" s="30"/>
      <c r="F126" s="30"/>
      <c r="G126" s="30"/>
      <c r="H126" s="30"/>
      <c r="I126" s="30"/>
      <c r="J126" s="30"/>
      <c r="K126" s="30"/>
    </row>
    <row r="127" spans="1:11" ht="15">
      <c r="A127" s="30"/>
      <c r="B127" s="30"/>
      <c r="C127" s="30"/>
      <c r="D127" s="30"/>
      <c r="E127" s="30"/>
      <c r="F127" s="30"/>
      <c r="G127" s="30"/>
      <c r="H127" s="30"/>
      <c r="I127" s="30"/>
      <c r="J127" s="30"/>
      <c r="K127" s="30"/>
    </row>
    <row r="128" spans="1:11" ht="15">
      <c r="A128" s="30"/>
      <c r="B128" s="30"/>
      <c r="C128" s="30"/>
      <c r="D128" s="30"/>
      <c r="E128" s="30"/>
      <c r="F128" s="30"/>
      <c r="G128" s="30"/>
      <c r="H128" s="30"/>
      <c r="I128" s="30"/>
      <c r="J128" s="30"/>
      <c r="K128" s="30"/>
    </row>
  </sheetData>
  <pageMargins left="0.7" right="0.7" top="0.75" bottom="0.75" header="0.3" footer="0.3"/>
  <pageSetup orientation="portrait" horizontalDpi="0" verticalDpi="0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Charts</vt:lpstr>
      </vt:variant>
      <vt:variant>
        <vt:i4>2</vt:i4>
      </vt:variant>
    </vt:vector>
  </HeadingPairs>
  <TitlesOfParts>
    <vt:vector size="10" baseType="lpstr">
      <vt:lpstr>Summary</vt:lpstr>
      <vt:lpstr>Fredconnect</vt:lpstr>
      <vt:lpstr>mortmetrics</vt:lpstr>
      <vt:lpstr>otherloans</vt:lpstr>
      <vt:lpstr>GovPrograms</vt:lpstr>
      <vt:lpstr>inclusion</vt:lpstr>
      <vt:lpstr>PIPrograms</vt:lpstr>
      <vt:lpstr>TextBackup</vt:lpstr>
      <vt:lpstr>Fig1</vt:lpstr>
      <vt:lpstr>Fig8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Casey B. Mulligan</dc:creator>
  <cp:lastModifiedBy>Casey Mulligan</cp:lastModifiedBy>
  <cp:lastPrinted>2012-01-06T15:54:53Z</cp:lastPrinted>
  <dcterms:created xsi:type="dcterms:W3CDTF">2011-08-22T15:07:17Z</dcterms:created>
  <dcterms:modified xsi:type="dcterms:W3CDTF">2017-07-04T15:08:18Z</dcterms:modified>
</cp:coreProperties>
</file>