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ate1904="1" showInkAnnotation="0" autoCompressPictures="0"/>
  <bookViews>
    <workbookView xWindow="0" yWindow="0" windowWidth="27195" windowHeight="14835" tabRatio="846" activeTab="4"/>
  </bookViews>
  <sheets>
    <sheet name="Table 1 Comparative" sheetId="5" r:id="rId1"/>
    <sheet name="Tab 2 Enrollment" sheetId="8" r:id="rId2"/>
    <sheet name="Tab 3Expenditures" sheetId="9" r:id="rId3"/>
    <sheet name="MitchellLindertData" sheetId="12" r:id="rId4"/>
    <sheet name="COMPARATIVE Data_Working Table" sheetId="14" r:id="rId5"/>
    <sheet name="Sheet1" sheetId="13" r:id="rId6"/>
  </sheets>
  <externalReferences>
    <externalReference r:id="rId7"/>
  </externalReferences>
  <definedNames>
    <definedName name="_xlnm.Print_Area" localSheetId="1">'Tab 2 Enrollment'!$A$2:$H$31</definedName>
    <definedName name="_xlnm.Print_Area" localSheetId="2">'Tab 3Expenditures'!$A$2:$H$32</definedName>
    <definedName name="_xlnm.Print_Area" localSheetId="0">'Table 1 Comparative'!$A$1:$I$33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I12" i="14" l="1"/>
  <c r="H12" i="14"/>
  <c r="L6" i="14"/>
  <c r="N6" i="14"/>
  <c r="O6" i="14"/>
  <c r="N7" i="14"/>
  <c r="O7" i="14"/>
  <c r="P7" i="14"/>
  <c r="L8" i="14"/>
  <c r="M8" i="14"/>
  <c r="N8" i="14"/>
  <c r="O8" i="14"/>
  <c r="P8" i="14"/>
  <c r="N9" i="14"/>
  <c r="O9" i="14"/>
  <c r="M10" i="14"/>
  <c r="N10" i="14"/>
  <c r="G10" i="14"/>
  <c r="O10" i="14"/>
  <c r="N12" i="14"/>
  <c r="H61" i="14"/>
  <c r="I61" i="14"/>
  <c r="O12" i="14"/>
  <c r="P12" i="14"/>
  <c r="N13" i="14"/>
  <c r="H13" i="14"/>
  <c r="O13" i="14"/>
  <c r="P13" i="14"/>
  <c r="N14" i="14"/>
  <c r="H14" i="14"/>
  <c r="O14" i="14"/>
  <c r="P14" i="14"/>
  <c r="N15" i="14"/>
  <c r="H15" i="14"/>
  <c r="O15" i="14"/>
  <c r="P15" i="14"/>
  <c r="N16" i="14"/>
  <c r="H16" i="14"/>
  <c r="O16" i="14"/>
  <c r="P16" i="14"/>
  <c r="N17" i="14"/>
  <c r="H17" i="14"/>
  <c r="O17" i="14"/>
  <c r="P17" i="14"/>
  <c r="N18" i="14"/>
  <c r="H18" i="14"/>
  <c r="O18" i="14"/>
  <c r="P18" i="14"/>
  <c r="N19" i="14"/>
  <c r="H44" i="14"/>
  <c r="I44" i="14"/>
  <c r="I19" i="14"/>
  <c r="H19" i="14"/>
  <c r="O19" i="14"/>
  <c r="P19" i="14"/>
  <c r="N20" i="14"/>
  <c r="H20" i="14"/>
  <c r="O20" i="14"/>
  <c r="N21" i="14"/>
  <c r="H21" i="14"/>
  <c r="O21" i="14"/>
  <c r="P21" i="14"/>
  <c r="N22" i="14"/>
  <c r="H57" i="14"/>
  <c r="H22" i="14"/>
  <c r="O22" i="14"/>
  <c r="P22" i="14"/>
  <c r="N23" i="14"/>
  <c r="H23" i="14"/>
  <c r="O23" i="14"/>
  <c r="P23" i="14"/>
  <c r="N24" i="14"/>
  <c r="H24" i="14"/>
  <c r="O24" i="14"/>
  <c r="N25" i="14"/>
  <c r="H25" i="14"/>
  <c r="O25" i="14"/>
  <c r="P25" i="14"/>
  <c r="N26" i="14"/>
  <c r="H26" i="14"/>
  <c r="O26" i="14"/>
  <c r="P26" i="14"/>
  <c r="N27" i="14"/>
  <c r="H45" i="14"/>
  <c r="I45" i="14"/>
  <c r="I27" i="14"/>
  <c r="H27" i="14"/>
  <c r="O27" i="14"/>
  <c r="P27" i="14"/>
  <c r="N28" i="14"/>
  <c r="H28" i="14"/>
  <c r="O28" i="14"/>
  <c r="P28" i="14"/>
  <c r="N29" i="14"/>
  <c r="H29" i="14"/>
  <c r="O29" i="14"/>
  <c r="N30" i="14"/>
  <c r="H54" i="14"/>
  <c r="I54" i="14"/>
  <c r="I30" i="14"/>
  <c r="H30" i="14"/>
  <c r="O30" i="14"/>
  <c r="N33" i="14"/>
  <c r="O33" i="14"/>
  <c r="P33" i="14"/>
  <c r="I57" i="14"/>
  <c r="H48" i="14"/>
  <c r="H49" i="14"/>
  <c r="H51" i="14"/>
  <c r="I51" i="14"/>
  <c r="I29" i="14"/>
  <c r="I26" i="14"/>
  <c r="I25" i="14"/>
  <c r="I24" i="14"/>
  <c r="I22" i="14"/>
  <c r="I21" i="14"/>
  <c r="I20" i="14"/>
  <c r="I18" i="14"/>
  <c r="I17" i="14"/>
  <c r="I16" i="14"/>
  <c r="I15" i="14"/>
  <c r="I14" i="14"/>
  <c r="I13" i="14"/>
  <c r="M4" i="5"/>
  <c r="M5" i="5"/>
  <c r="M6" i="5"/>
  <c r="M7" i="5"/>
  <c r="N3" i="5"/>
  <c r="N4" i="5"/>
  <c r="N5" i="5"/>
  <c r="N6" i="5"/>
  <c r="N7" i="5"/>
  <c r="V5" i="5"/>
  <c r="V4" i="5"/>
  <c r="V3" i="5"/>
  <c r="I39" i="12"/>
  <c r="I3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H22" i="12"/>
  <c r="G22" i="12"/>
  <c r="G13" i="12"/>
  <c r="G9" i="12"/>
  <c r="G6" i="12"/>
  <c r="G7" i="12"/>
  <c r="G8" i="12"/>
  <c r="G10" i="12"/>
  <c r="G11" i="12"/>
  <c r="G14" i="12"/>
  <c r="G15" i="12"/>
  <c r="G16" i="12"/>
  <c r="G5" i="12"/>
  <c r="L27" i="5"/>
  <c r="L26" i="5"/>
  <c r="L25" i="5"/>
  <c r="L24" i="5"/>
  <c r="L23" i="5"/>
  <c r="L22" i="5"/>
  <c r="L21" i="5"/>
  <c r="L20" i="5"/>
  <c r="L19" i="5"/>
  <c r="L18" i="5"/>
  <c r="L17" i="5"/>
  <c r="L16" i="5"/>
  <c r="L15" i="5"/>
  <c r="L14" i="5"/>
  <c r="L13" i="5"/>
  <c r="L12" i="5"/>
  <c r="L11" i="5"/>
  <c r="L10" i="5"/>
  <c r="L9" i="5"/>
  <c r="L8" i="5"/>
  <c r="P7" i="5"/>
  <c r="L7" i="5"/>
  <c r="L6" i="5"/>
  <c r="Q5" i="5"/>
  <c r="L5" i="5"/>
  <c r="Q4" i="5"/>
  <c r="L4" i="5"/>
  <c r="Q3" i="5"/>
  <c r="L3" i="5"/>
</calcChain>
</file>

<file path=xl/comments1.xml><?xml version="1.0" encoding="utf-8"?>
<comments xmlns="http://schemas.openxmlformats.org/spreadsheetml/2006/main">
  <authors>
    <author>Steven Nafziger</author>
  </authors>
  <commentList>
    <comment ref="I2" authorId="0">
      <text>
        <r>
          <rPr>
            <b/>
            <sz val="9"/>
            <color indexed="81"/>
            <rFont val="Verdana"/>
          </rPr>
          <t>Steven Nafziger:</t>
        </r>
        <r>
          <rPr>
            <sz val="9"/>
            <color indexed="81"/>
            <rFont val="Verdana"/>
          </rPr>
          <t xml:space="preserve">
Public when possible, otherwise ALL</t>
        </r>
      </text>
    </comment>
  </commentList>
</comments>
</file>

<file path=xl/comments2.xml><?xml version="1.0" encoding="utf-8"?>
<comments xmlns="http://schemas.openxmlformats.org/spreadsheetml/2006/main">
  <authors>
    <author>joed</author>
    <author>Steven Nafziger</author>
    <author>Latika Hartmann</author>
  </authors>
  <commentList>
    <comment ref="H5" authorId="0">
      <text>
        <r>
          <rPr>
            <b/>
            <sz val="9"/>
            <color indexed="81"/>
            <rFont val="Tahoma"/>
          </rPr>
          <t>Aldo:</t>
        </r>
        <r>
          <rPr>
            <sz val="9"/>
            <color indexed="81"/>
            <rFont val="Tahoma"/>
          </rPr>
          <t xml:space="preserve">
I used the school age population in the census year or the proportion of school age children 5-14 and I worked with the population we have in the column to the left. Also, according to the population figures we have I figured out if it was Austria or the Austro-Hungarian Empire and I copied school age pop accordingly. The same for Hungary, Germany, the UK and South Africa</t>
        </r>
      </text>
    </comment>
    <comment ref="Q5" authorId="1">
      <text>
        <r>
          <rPr>
            <b/>
            <sz val="9"/>
            <color indexed="81"/>
            <rFont val="Verdana"/>
          </rPr>
          <t>Steven Nafziger:</t>
        </r>
        <r>
          <rPr>
            <sz val="9"/>
            <color indexed="81"/>
            <rFont val="Verdana"/>
          </rPr>
          <t xml:space="preserve">
Public when possible, otherwise ALL</t>
        </r>
      </text>
    </comment>
    <comment ref="G15" authorId="0">
      <text>
        <r>
          <rPr>
            <b/>
            <sz val="9"/>
            <color indexed="81"/>
            <rFont val="Tahoma"/>
          </rPr>
          <t>joed:</t>
        </r>
        <r>
          <rPr>
            <sz val="9"/>
            <color indexed="81"/>
            <rFont val="Tahoma"/>
          </rPr>
          <t xml:space="preserve">
From Mitchell, I changed it because we had the 1911 pop and we wanted the pop in 1906</t>
        </r>
      </text>
    </comment>
    <comment ref="H19" authorId="0">
      <text>
        <r>
          <rPr>
            <b/>
            <sz val="9"/>
            <color indexed="81"/>
            <rFont val="Tahoma"/>
          </rPr>
          <t>Aldo: I had to use the proportion in 1911 to figure out the school age pop in 1905-1907</t>
        </r>
        <r>
          <rPr>
            <sz val="9"/>
            <color indexed="81"/>
            <rFont val="Tahoma"/>
          </rPr>
          <t xml:space="preserve">
</t>
        </r>
      </text>
    </comment>
    <comment ref="H22" authorId="0">
      <text>
        <r>
          <rPr>
            <b/>
            <sz val="9"/>
            <color indexed="81"/>
            <rFont val="Tahoma"/>
          </rPr>
          <t>From 1913</t>
        </r>
      </text>
    </comment>
    <comment ref="I23" authorId="0">
      <text>
        <r>
          <rPr>
            <b/>
            <sz val="9"/>
            <color indexed="81"/>
            <rFont val="Tahoma"/>
          </rPr>
          <t>No info for South Africa, we assumed 20%</t>
        </r>
      </text>
    </comment>
    <comment ref="I27" authorId="0">
      <text>
        <r>
          <rPr>
            <b/>
            <sz val="9"/>
            <color indexed="81"/>
            <rFont val="Tahoma"/>
          </rPr>
          <t xml:space="preserve">Aldo: </t>
        </r>
        <r>
          <rPr>
            <sz val="9"/>
            <color indexed="81"/>
            <rFont val="Tahoma"/>
          </rPr>
          <t>Based on Bolivia's 1900 census and using population 7-13 years old. Age brackets were different…</t>
        </r>
        <r>
          <rPr>
            <sz val="9"/>
            <color indexed="81"/>
            <rFont val="Tahoma"/>
          </rPr>
          <t xml:space="preserve">
</t>
        </r>
      </text>
    </comment>
    <comment ref="Q27" authorId="2">
      <text>
        <r>
          <rPr>
            <b/>
            <sz val="9"/>
            <color indexed="81"/>
            <rFont val="Verdana"/>
          </rPr>
          <t>Latika Hartmann:</t>
        </r>
        <r>
          <rPr>
            <sz val="9"/>
            <color indexed="81"/>
            <rFont val="Verdana"/>
          </rPr>
          <t xml:space="preserve">
1900</t>
        </r>
      </text>
    </comment>
    <comment ref="I28" authorId="0">
      <text>
        <r>
          <rPr>
            <b/>
            <sz val="9"/>
            <color indexed="81"/>
            <rFont val="Tahoma"/>
          </rPr>
          <t>Aldo</t>
        </r>
        <r>
          <rPr>
            <sz val="9"/>
            <color indexed="81"/>
            <rFont val="Tahoma"/>
          </rPr>
          <t xml:space="preserve">
This is the avg of enrollments in Bolivia and other South American countries. It is still low compared to most countries</t>
        </r>
      </text>
    </comment>
    <comment ref="I30" authorId="0">
      <text>
        <r>
          <rPr>
            <b/>
            <sz val="9"/>
            <color indexed="81"/>
            <rFont val="Tahoma"/>
          </rPr>
          <t>joed:</t>
        </r>
        <r>
          <rPr>
            <sz val="9"/>
            <color indexed="81"/>
            <rFont val="Tahoma"/>
          </rPr>
          <t xml:space="preserve">
Based on school age pop ratio of 1921, no data before that...</t>
        </r>
      </text>
    </comment>
  </commentList>
</comments>
</file>

<file path=xl/sharedStrings.xml><?xml version="1.0" encoding="utf-8"?>
<sst xmlns="http://schemas.openxmlformats.org/spreadsheetml/2006/main" count="397" uniqueCount="258">
  <si>
    <t>Great Britain</t>
    <phoneticPr fontId="5" type="noConversion"/>
  </si>
  <si>
    <t>Scotland</t>
    <phoneticPr fontId="5" type="noConversion"/>
  </si>
  <si>
    <t>Ireland</t>
    <phoneticPr fontId="5" type="noConversion"/>
  </si>
  <si>
    <t>Pub + Priv</t>
    <phoneticPr fontId="5" type="noConversion"/>
  </si>
  <si>
    <t>Mexico</t>
    <phoneticPr fontId="5" type="noConversion"/>
  </si>
  <si>
    <t>Argentina</t>
    <phoneticPr fontId="5" type="noConversion"/>
  </si>
  <si>
    <t>Chile</t>
    <phoneticPr fontId="5" type="noConversion"/>
  </si>
  <si>
    <t>Students per 1000 5-14 yr. olds</t>
    <phoneticPr fontId="5" type="noConversion"/>
  </si>
  <si>
    <t>Columbia</t>
    <phoneticPr fontId="5" type="noConversion"/>
  </si>
  <si>
    <t>Jamaica</t>
    <phoneticPr fontId="5" type="noConversion"/>
  </si>
  <si>
    <t>Peru</t>
    <phoneticPr fontId="5" type="noConversion"/>
  </si>
  <si>
    <t>Uruguay</t>
    <phoneticPr fontId="5" type="noConversion"/>
  </si>
  <si>
    <t>Egypt</t>
    <phoneticPr fontId="5" type="noConversion"/>
  </si>
  <si>
    <t>Indonesia</t>
    <phoneticPr fontId="5" type="noConversion"/>
  </si>
  <si>
    <t>Pub + Priv</t>
    <phoneticPr fontId="5" type="noConversion"/>
  </si>
  <si>
    <t>Japan</t>
    <phoneticPr fontId="5" type="noConversion"/>
  </si>
  <si>
    <t>Phillipines</t>
    <phoneticPr fontId="5" type="noConversion"/>
  </si>
  <si>
    <t>Sr Lanka</t>
    <phoneticPr fontId="5" type="noConversion"/>
  </si>
  <si>
    <t>w/ secondary</t>
    <phoneticPr fontId="5" type="noConversion"/>
  </si>
  <si>
    <t>"Blank" means general</t>
    <phoneticPr fontId="5" type="noConversion"/>
  </si>
  <si>
    <t>Year</t>
    <phoneticPr fontId="5" type="noConversion"/>
  </si>
  <si>
    <t>France</t>
    <phoneticPr fontId="5" type="noConversion"/>
  </si>
  <si>
    <t>Germany</t>
    <phoneticPr fontId="5" type="noConversion"/>
  </si>
  <si>
    <t>Ireland</t>
    <phoneticPr fontId="5" type="noConversion"/>
  </si>
  <si>
    <t>Italy</t>
    <phoneticPr fontId="5" type="noConversion"/>
  </si>
  <si>
    <t>Portugal</t>
    <phoneticPr fontId="5" type="noConversion"/>
  </si>
  <si>
    <t>Spain</t>
    <phoneticPr fontId="5" type="noConversion"/>
  </si>
  <si>
    <t>Sweden</t>
    <phoneticPr fontId="5" type="noConversion"/>
  </si>
  <si>
    <t>Great Britain (England and Wales)</t>
    <phoneticPr fontId="5" type="noConversion"/>
  </si>
  <si>
    <t>Scotland</t>
    <phoneticPr fontId="5" type="noConversion"/>
  </si>
  <si>
    <t>Austria (Old Definition)</t>
    <phoneticPr fontId="5" type="noConversion"/>
  </si>
  <si>
    <t>Austria (Rpublic)</t>
    <phoneticPr fontId="5" type="noConversion"/>
  </si>
  <si>
    <t>School-Age Pop</t>
    <phoneticPr fontId="5" type="noConversion"/>
  </si>
  <si>
    <t>5 to 14</t>
    <phoneticPr fontId="5" type="noConversion"/>
  </si>
  <si>
    <t>Hungary</t>
    <phoneticPr fontId="5" type="noConversion"/>
  </si>
  <si>
    <t>Teachers</t>
    <phoneticPr fontId="5" type="noConversion"/>
  </si>
  <si>
    <t>Primary Students</t>
    <phoneticPr fontId="5" type="noConversion"/>
  </si>
  <si>
    <r>
      <t xml:space="preserve">From Brian Mitchell, </t>
    </r>
    <r>
      <rPr>
        <i/>
        <sz val="10"/>
        <rFont val="Verdana"/>
      </rPr>
      <t>International Historical Statistics: Europe, 1750-1993</t>
    </r>
    <r>
      <rPr>
        <sz val="10"/>
        <rFont val="Verdana"/>
      </rPr>
      <t>, 4th ed., London: Macmillan Reference Ltd., 1998.</t>
    </r>
    <phoneticPr fontId="5" type="noConversion"/>
  </si>
  <si>
    <r>
      <t xml:space="preserve">Lindert, </t>
    </r>
    <r>
      <rPr>
        <i/>
        <sz val="10"/>
        <rFont val="Verdana"/>
      </rPr>
      <t>Growing Public: Social Spending and Economic Growth Since the Eighteenth Century</t>
    </r>
    <r>
      <rPr>
        <sz val="10"/>
        <rFont val="Verdana"/>
      </rPr>
      <t xml:space="preserve">, vol. 2: </t>
    </r>
    <r>
      <rPr>
        <i/>
        <sz val="10"/>
        <rFont val="Verdana"/>
      </rPr>
      <t>Further Evidence</t>
    </r>
    <r>
      <rPr>
        <sz val="10"/>
        <rFont val="Verdana"/>
      </rPr>
      <t>, Cambridge: Cambridge University Press, 2004.</t>
    </r>
    <phoneticPr fontId="5" type="noConversion"/>
  </si>
  <si>
    <t>Country</t>
    <phoneticPr fontId="5" type="noConversion"/>
  </si>
  <si>
    <t>Type of Enrollment</t>
    <phoneticPr fontId="5" type="noConversion"/>
  </si>
  <si>
    <t>Number Enrolled</t>
    <phoneticPr fontId="5" type="noConversion"/>
  </si>
  <si>
    <t>Year</t>
    <phoneticPr fontId="5" type="noConversion"/>
  </si>
  <si>
    <t>Teachers</t>
    <phoneticPr fontId="5" type="noConversion"/>
  </si>
  <si>
    <t>Austria (Old definition)</t>
    <phoneticPr fontId="5" type="noConversion"/>
  </si>
  <si>
    <t>Pub + Priv</t>
    <phoneticPr fontId="5" type="noConversion"/>
  </si>
  <si>
    <t>Pub</t>
    <phoneticPr fontId="5" type="noConversion"/>
  </si>
  <si>
    <t>Pub enrolled</t>
    <phoneticPr fontId="5" type="noConversion"/>
  </si>
  <si>
    <t>Pub subsidized</t>
    <phoneticPr fontId="5" type="noConversion"/>
  </si>
  <si>
    <t>Public only</t>
    <phoneticPr fontId="5" type="noConversion"/>
  </si>
  <si>
    <t>Hungary</t>
    <phoneticPr fontId="5" type="noConversion"/>
  </si>
  <si>
    <t>Italy</t>
    <phoneticPr fontId="5" type="noConversion"/>
  </si>
  <si>
    <t>Portugal</t>
    <phoneticPr fontId="5" type="noConversion"/>
  </si>
  <si>
    <t>Spain</t>
    <phoneticPr fontId="5" type="noConversion"/>
  </si>
  <si>
    <t>Sweden</t>
    <phoneticPr fontId="5" type="noConversion"/>
  </si>
  <si>
    <t>Public</t>
    <phoneticPr fontId="5" type="noConversion"/>
  </si>
  <si>
    <t>Population</t>
  </si>
  <si>
    <t>Year of pop census</t>
  </si>
  <si>
    <t>Prussia</t>
  </si>
  <si>
    <t>population</t>
    <phoneticPr fontId="5" type="noConversion"/>
  </si>
  <si>
    <t>Teachers / School Age Populatioin</t>
  </si>
  <si>
    <t>Teachers</t>
  </si>
  <si>
    <t>Primary school expenditures per school age population as a % of GDP per capita in 1910 Geary-Khamis dollars</t>
  </si>
  <si>
    <t>School Age Population</t>
  </si>
  <si>
    <t>Table 2. Variation in Enrollment Rates within BRICs (Primary Enrollment*100 / Children of School Age), c. 1910</t>
  </si>
  <si>
    <t>British India (provinces)</t>
  </si>
  <si>
    <t>Bengal</t>
  </si>
  <si>
    <t>Bombay</t>
  </si>
  <si>
    <t>Burma</t>
  </si>
  <si>
    <t>Central Provinces and Berar</t>
  </si>
  <si>
    <t>Coorg</t>
  </si>
  <si>
    <t>Eastern Bengal and Assam</t>
  </si>
  <si>
    <t>Madras</t>
  </si>
  <si>
    <t>North-West Frontier Province</t>
  </si>
  <si>
    <t>Punjab</t>
  </si>
  <si>
    <t>United Provinces</t>
  </si>
  <si>
    <t>Table 1: Expenditures on elementary education per enrolled student and per school age population, various countries, c. 1910</t>
    <phoneticPr fontId="3" type="noConversion"/>
  </si>
  <si>
    <t>Country</t>
  </si>
  <si>
    <t>GDP per capita (PPP-1990 Geary-Khamis dollars), 1913 (Maddison)</t>
  </si>
  <si>
    <t>Expenditures per school age population (nominal US$, c. 1910)</t>
  </si>
  <si>
    <t>Expenditure per enrolled student (Nominal US$ c. 1910)</t>
  </si>
  <si>
    <t>School Size (Total enrollment/ Total teachers)</t>
    <phoneticPr fontId="3" type="noConversion"/>
  </si>
  <si>
    <t xml:space="preserve">Notes and sources: Local currencies were first deflated to 1910/11 using local price indices and then converted to US$ using 1910 exchange rates. </t>
  </si>
  <si>
    <t>Population of school age</t>
  </si>
  <si>
    <t>Brazil</t>
  </si>
  <si>
    <t>Russia</t>
  </si>
  <si>
    <t>India</t>
  </si>
  <si>
    <t>China</t>
  </si>
  <si>
    <t>n/a</t>
    <phoneticPr fontId="3" type="noConversion"/>
  </si>
  <si>
    <t>BRIC (weighted average)</t>
  </si>
  <si>
    <t>United States</t>
    <phoneticPr fontId="3" type="noConversion"/>
  </si>
  <si>
    <t>Austria</t>
  </si>
  <si>
    <t>Hungary</t>
  </si>
  <si>
    <t>France</t>
  </si>
  <si>
    <t>German Empire/Prussia</t>
    <phoneticPr fontId="3" type="noConversion"/>
  </si>
  <si>
    <t>England and Wales (UK for GDP)</t>
    <phoneticPr fontId="3" type="noConversion"/>
  </si>
  <si>
    <t>Ireland</t>
    <phoneticPr fontId="3" type="noConversion"/>
  </si>
  <si>
    <t>Italy</t>
  </si>
  <si>
    <t>Spain</t>
  </si>
  <si>
    <t>Sweden</t>
  </si>
  <si>
    <t>Japan</t>
  </si>
  <si>
    <t>South Africa (Cape of Good Hope)</t>
  </si>
  <si>
    <t>Mexico</t>
  </si>
  <si>
    <t>Chile</t>
  </si>
  <si>
    <t>Uruguay</t>
  </si>
  <si>
    <t>Bolivia</t>
  </si>
  <si>
    <t>Peru</t>
    <phoneticPr fontId="3" type="noConversion"/>
  </si>
  <si>
    <t>Jamaica</t>
    <phoneticPr fontId="3" type="noConversion"/>
  </si>
  <si>
    <t>Sri Lanka</t>
    <phoneticPr fontId="3" type="noConversion"/>
  </si>
  <si>
    <t>Brazil (states)</t>
  </si>
  <si>
    <t>1914-15</t>
  </si>
  <si>
    <t>European Russia (regions)</t>
  </si>
  <si>
    <t>1910-11</t>
    <phoneticPr fontId="5" type="noConversion"/>
  </si>
  <si>
    <t>1911-12</t>
    <phoneticPr fontId="5" type="noConversion"/>
  </si>
  <si>
    <t>China (provinces)</t>
  </si>
  <si>
    <t>Alagoas</t>
  </si>
  <si>
    <t>Northern Provinces</t>
  </si>
  <si>
    <t>Jiangsu</t>
  </si>
  <si>
    <t>Amazonas</t>
  </si>
  <si>
    <t>Ural Provinces</t>
  </si>
  <si>
    <t>Zhejiang</t>
  </si>
  <si>
    <t>Bahia</t>
  </si>
  <si>
    <t>Central Industrial Region</t>
  </si>
  <si>
    <t>Anhui</t>
  </si>
  <si>
    <t>Ceará</t>
  </si>
  <si>
    <t>Central Agricultural Region</t>
  </si>
  <si>
    <t>Jiangxi</t>
  </si>
  <si>
    <t>Federal District</t>
  </si>
  <si>
    <t>Volga/Don Region</t>
  </si>
  <si>
    <t>Hubei</t>
  </si>
  <si>
    <t>Espírito Santo</t>
  </si>
  <si>
    <t>Left-Bank Ukraine</t>
  </si>
  <si>
    <t>Hunan</t>
  </si>
  <si>
    <t>Góias</t>
  </si>
  <si>
    <t>Right-Bank Ukraine</t>
  </si>
  <si>
    <t>Sichuan</t>
  </si>
  <si>
    <t>Maranhão</t>
  </si>
  <si>
    <t>"New" Russian Provinces</t>
  </si>
  <si>
    <t>Fujian</t>
  </si>
  <si>
    <t>Minas Gerais</t>
  </si>
  <si>
    <t>Belorussian Provinces</t>
  </si>
  <si>
    <t>Yunan</t>
  </si>
  <si>
    <t>Mato Grosso</t>
  </si>
  <si>
    <t>Baltic Provinces</t>
  </si>
  <si>
    <t>Guizhou</t>
  </si>
  <si>
    <t>Pará</t>
  </si>
  <si>
    <t>Capital Provinces</t>
  </si>
  <si>
    <t>Guangdong</t>
  </si>
  <si>
    <t>Paraíba</t>
  </si>
  <si>
    <t>Guangxi</t>
  </si>
  <si>
    <t>Pernambuco</t>
  </si>
  <si>
    <t>Shaanxi</t>
  </si>
  <si>
    <t>Piauí</t>
  </si>
  <si>
    <t>Shanxi</t>
  </si>
  <si>
    <t>Paraná</t>
  </si>
  <si>
    <t>Henan</t>
  </si>
  <si>
    <t>Rio de Janeiro</t>
  </si>
  <si>
    <t>Hebei</t>
  </si>
  <si>
    <t>Rio Grande do Norte</t>
  </si>
  <si>
    <t>Shandong</t>
  </si>
  <si>
    <t>Rio Grande do Sul</t>
  </si>
  <si>
    <t>Gansu</t>
  </si>
  <si>
    <t>Santa Catarina</t>
  </si>
  <si>
    <t>Xinjiang</t>
  </si>
  <si>
    <t>Sergipe</t>
  </si>
  <si>
    <t>Liaoning</t>
  </si>
  <si>
    <t>São Paulo</t>
  </si>
  <si>
    <t>Jilin</t>
  </si>
  <si>
    <t>Heilongjiang</t>
  </si>
  <si>
    <t xml:space="preserve">Brazil </t>
  </si>
  <si>
    <t>European Russia</t>
  </si>
  <si>
    <t>British India</t>
  </si>
  <si>
    <t>Coeff. Of variation</t>
  </si>
  <si>
    <t>Table 3. Variation in Expenditures on Elementary Education within BRICs (US$ per Children of School Age), c. 1910</t>
  </si>
  <si>
    <t>Regions (European Russia)</t>
  </si>
  <si>
    <t>Distrito Federal</t>
  </si>
  <si>
    <t>Total, European Russia</t>
  </si>
  <si>
    <t>Coeff. of Variation</t>
  </si>
  <si>
    <t>Teachers/School Age Population</t>
  </si>
  <si>
    <t>n/a</t>
  </si>
  <si>
    <t>Enrollment rate as a % of school age children</t>
  </si>
  <si>
    <t>This is how we originally had it, Aldo converted it to teachers per 1,000 children</t>
  </si>
  <si>
    <t>Teachers / 1,000 Children of School Age</t>
  </si>
  <si>
    <t>13.6 (1900)</t>
  </si>
  <si>
    <t>13.9 (1900)</t>
  </si>
  <si>
    <t>4.5 (1920)</t>
  </si>
  <si>
    <t>Lindert's Public School Enrollment Rate of 5-14 year-olds (1910 or Year) in %</t>
  </si>
  <si>
    <t>Sources by country: Brazil: Education Census of 1907 and Population Census of 1900. The population of children in school age is estimated using the population pyramids of the 1900 census. Russia: Enrollment rates comes from Pokrovskii, V.I., ed. Odnodnevnaia perepis' nachal'nykh shkol Rossiiskoi Imperii proizvedennaia 18 Ianvaria 1911 goda. 16 vols. St. Petersburg, Russia: Russia, Ministerstvo narodnago prosveshcheniia, 1916. Population totals come from Russia. Tsentral'nyi statisticheskii komitet, Ministerstvo vnutrennykh del. Statisticheskii ezhegodnik Rossii 1911 g. St. Petersburg, Russia, 1912. India: Quinquennial Review of Education- 1907-1912, Supplemental Tables. These tables include population, but no age distribution of the population.  We used the 1911 Census of India for the school age population from 5 to 15. Since the Quinquennial Reviews include a small number of Princely States in their data for Bombay, CP, Burma and different boundaries for Bengal on account of the 1905 partition of the province, we multiplied the population for these regions as reported in the Quinquennial Reviews with the proportion of the school age population from the Census for the British provinces of these regions. We also used the average all-India proportion of 25% for 5 to 15 year olds to calculate the school-age population for Coorg. China: The First Educational Statistics Yearbook and population figures from the Census of 1910.</t>
  </si>
  <si>
    <t>Note: The expenditure and enrollment data come from United States (1910) and, for BRIC countries, the sources cited in Tables 2 and 3. They relate to various school years between 1904 and 1911. School age population for non-BRIC countries was estimated using data from Mitchell (2003). If the school age population data was unavailable for the specific year for which the expenditure and enrollment data are reported in United States (1910), we calculated the proportion of the school age population for the nearest year reported in Mitchell (2003) and applied it to the population reported in United States (1910). For a few countries where Mitchell (2003) does not report the school age population, we relied on local censuses and government publications. All GDP per capita data comes from Maddison (2006). We convert Maddison's GDP data to nominal US$, c 1910 using the United States GDP deflator. The enrollment rates from Lindert (2004) are based on census population figures and, occasionally, different geographic units. This explains the sometimes large differences between our rates and his.</t>
  </si>
  <si>
    <t>.</t>
  </si>
  <si>
    <t xml:space="preserve">Sources by country: Brazil: Expenditures per children estimated using the average total expenditures on education by state for 1914-1915 divided over our estimates of population in school age. We estimate population in school age using a linear interpolation between the data we have from the census of 1890 and 1920 (Brazil, 1940). Data for expenditures comes from Brazil (1926) and from Wileman (1909). Data for Brazil assumes that half of the federal budget was spent on elementary education in the Federal District. Russia: All schooling info, including expenditures, comes from Pokrovskii, V.I., ed. Odnodnevnaia perepis' nachal'nykh shkol Rossiiskoi Imperii proizvedennaia 18 Ianvaria 1911 goda. 16 vols. St. Petersburg, Russia: Russia, Ministerstvo narodnago prosveshcheniia, 1916. Population totals come from Russia. Tsentral'nyi statisticheskii komitet, Ministerstvo vnutrennykh del. Statisticheskii ezhegodnik Rossii 1911 g. St. Petersburg, Russia, 1912. India: Expenditures on primary education and population are from Progress of Education in India, 1907-1912, Vol. II-Appendices and Tables, Supplemental Tables, 1 and 22. China:  "History of China's Population", the 6th volumn, by Ge Jianxiong; The First Education Yearbook. The school age population for each country is constructed from the same sources as table 2. </t>
  </si>
  <si>
    <t>School age population from Mitchell (ALDO, 12/15/2011)</t>
  </si>
  <si>
    <t>School age pop to pop ratio</t>
  </si>
  <si>
    <t>*For Brazil the figure is for the entire system, public and private</t>
  </si>
  <si>
    <t>ID</t>
    <phoneticPr fontId="2" type="noConversion"/>
  </si>
  <si>
    <t>Maddison Population from Year of Enrollment /Spending Data</t>
    <phoneticPr fontId="2" type="noConversion"/>
  </si>
  <si>
    <t>Year of school census</t>
  </si>
  <si>
    <t>Total enrollment</t>
  </si>
  <si>
    <t>Total Expenditure</t>
  </si>
  <si>
    <t>Expenditure per enrolled student</t>
  </si>
  <si>
    <t>Expenditures per capita (Children)</t>
  </si>
  <si>
    <t>Pupil-teacher ratio</t>
  </si>
  <si>
    <t>Lindert Public School Enrollment Rate of 5-14 year-olds (1910 or Year)</t>
    <phoneticPr fontId="2" type="noConversion"/>
  </si>
  <si>
    <t>Brazil</t>
    <phoneticPr fontId="2" type="noConversion"/>
  </si>
  <si>
    <t>Russia</t>
    <phoneticPr fontId="2" type="noConversion"/>
  </si>
  <si>
    <t>13.9 (1900)</t>
    <phoneticPr fontId="2" type="noConversion"/>
  </si>
  <si>
    <t>India</t>
    <phoneticPr fontId="2" type="noConversion"/>
  </si>
  <si>
    <t>1911-12</t>
  </si>
  <si>
    <t>China</t>
    <phoneticPr fontId="2" type="noConversion"/>
  </si>
  <si>
    <t>4.5 (1920)</t>
    <phoneticPr fontId="2" type="noConversion"/>
  </si>
  <si>
    <t>USA</t>
    <phoneticPr fontId="2" type="noConversion"/>
  </si>
  <si>
    <t>United States</t>
    <phoneticPr fontId="2" type="noConversion"/>
  </si>
  <si>
    <t>1907-8</t>
    <phoneticPr fontId="2" type="noConversion"/>
  </si>
  <si>
    <t>Austria</t>
    <phoneticPr fontId="2" type="noConversion"/>
  </si>
  <si>
    <t>Hungary</t>
    <phoneticPr fontId="2" type="noConversion"/>
  </si>
  <si>
    <t>France</t>
    <phoneticPr fontId="2" type="noConversion"/>
  </si>
  <si>
    <t>Germany</t>
    <phoneticPr fontId="2" type="noConversion"/>
  </si>
  <si>
    <t>German Empire/Prussia</t>
    <phoneticPr fontId="2" type="noConversion"/>
  </si>
  <si>
    <t>UK</t>
    <phoneticPr fontId="2" type="noConversion"/>
  </si>
  <si>
    <t>England and Wales (UK for GDP)</t>
    <phoneticPr fontId="2" type="noConversion"/>
  </si>
  <si>
    <t>Ireland</t>
    <phoneticPr fontId="2" type="noConversion"/>
  </si>
  <si>
    <t>Italy</t>
    <phoneticPr fontId="2" type="noConversion"/>
  </si>
  <si>
    <t>1905-07</t>
  </si>
  <si>
    <t>Spain</t>
    <phoneticPr fontId="2" type="noConversion"/>
  </si>
  <si>
    <t>Sweden</t>
    <phoneticPr fontId="2" type="noConversion"/>
  </si>
  <si>
    <t>Japan</t>
    <phoneticPr fontId="2" type="noConversion"/>
  </si>
  <si>
    <t>1906-07</t>
  </si>
  <si>
    <t>S. Africa</t>
    <phoneticPr fontId="2" type="noConversion"/>
  </si>
  <si>
    <t>Mexico</t>
    <phoneticPr fontId="2" type="noConversion"/>
  </si>
  <si>
    <t>Chile</t>
    <phoneticPr fontId="2" type="noConversion"/>
  </si>
  <si>
    <t>Uruguay</t>
    <phoneticPr fontId="2" type="noConversion"/>
  </si>
  <si>
    <t>Bolivia</t>
    <phoneticPr fontId="2" type="noConversion"/>
  </si>
  <si>
    <t>Peru</t>
    <phoneticPr fontId="2" type="noConversion"/>
  </si>
  <si>
    <t>Jamaica</t>
    <phoneticPr fontId="2" type="noConversion"/>
  </si>
  <si>
    <t>Sri Lanka</t>
    <phoneticPr fontId="2" type="noConversion"/>
  </si>
  <si>
    <t>Prussia</t>
    <phoneticPr fontId="2" type="noConversion"/>
  </si>
  <si>
    <t>Pop 1911</t>
  </si>
  <si>
    <t>ITALY</t>
  </si>
  <si>
    <t>Pop1896</t>
  </si>
  <si>
    <t>Upper/Lower bound</t>
  </si>
  <si>
    <t>Peru</t>
  </si>
  <si>
    <t>Pop in 1921</t>
  </si>
  <si>
    <t>School age pop 1921</t>
  </si>
  <si>
    <t>Sri Lanka</t>
  </si>
  <si>
    <t>Pop1913</t>
  </si>
  <si>
    <t>School age pop 1913</t>
  </si>
  <si>
    <t>United States</t>
  </si>
  <si>
    <t>School age pop</t>
  </si>
  <si>
    <t>pop1910</t>
  </si>
  <si>
    <t>Whites</t>
  </si>
  <si>
    <t>5-9</t>
  </si>
  <si>
    <t>10-14</t>
  </si>
  <si>
    <t>Blacks</t>
  </si>
  <si>
    <t>THESE ARE THE POPULATION FIGURES FROM Maddison's International historical statistics</t>
  </si>
  <si>
    <t>***Notes to school age population: We used the school age population in the census year or the proportion of school age children 5-14 and then worked with the population column. We were careful to match school age population figures with the right population figures for Austria (vs. the Austro-Hungarian Empire); Hungary;  The German empire (vs. Prussia); the UK and South Africa</t>
  </si>
  <si>
    <t>***FOR Sources and calculations of school age population go to</t>
  </si>
  <si>
    <t>COMPARATIVE Data_Working Table'!A1</t>
  </si>
  <si>
    <t>***********This spreadsheet has the sources and assumptions we had to make to calculate school age populations for Table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</si>
</sst>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_);_(* \(#,##0\);_(* &quot;-&quot;??_);_(@_)"/>
    <numFmt numFmtId="165" formatCode="0.0%"/>
    <numFmt numFmtId="166" formatCode="0.000"/>
    <numFmt numFmtId="167" formatCode="0.0"/>
    <numFmt numFmtId="169" formatCode="0.0000"/>
    <numFmt numFmtId="172" formatCode="#,##0.0"/>
  </numFmts>
  <fonts count="32">
    <font>
      <sz val="10"/>
      <name val="Verdana"/>
    </font>
    <font>
      <i/>
      <sz val="10"/>
      <name val="Verdana"/>
    </font>
    <font>
      <i/>
      <sz val="10"/>
      <name val="Verdana"/>
    </font>
    <font>
      <i/>
      <sz val="10"/>
      <name val="Verdana"/>
    </font>
    <font>
      <sz val="10"/>
      <name val="Verdana"/>
    </font>
    <font>
      <sz val="8"/>
      <name val="Verdana"/>
    </font>
    <font>
      <b/>
      <sz val="9"/>
      <name val="Palatino Linotype"/>
      <family val="1"/>
    </font>
    <font>
      <sz val="9"/>
      <name val="Palatino Linotype"/>
      <family val="1"/>
    </font>
    <font>
      <sz val="10"/>
      <name val="Book Antiqua"/>
      <family val="1"/>
    </font>
    <font>
      <b/>
      <sz val="9"/>
      <color indexed="81"/>
      <name val="Verdana"/>
    </font>
    <font>
      <sz val="9"/>
      <color indexed="81"/>
      <name val="Verdana"/>
    </font>
    <font>
      <sz val="11"/>
      <color theme="1"/>
      <name val="Calibri"/>
      <family val="2"/>
      <scheme val="minor"/>
    </font>
    <font>
      <b/>
      <sz val="9"/>
      <color indexed="8"/>
      <name val="Palatino Linotype"/>
      <family val="1"/>
    </font>
    <font>
      <sz val="9"/>
      <color indexed="8"/>
      <name val="Palatino Linotype"/>
      <family val="1"/>
    </font>
    <font>
      <sz val="10"/>
      <color indexed="8"/>
      <name val="Arial"/>
      <family val="2"/>
    </font>
    <font>
      <sz val="11"/>
      <color indexed="8"/>
      <name val="Palatino Linotype"/>
      <family val="1"/>
    </font>
    <font>
      <sz val="8"/>
      <color indexed="8"/>
      <name val="Palatino Linotype"/>
      <family val="1"/>
    </font>
    <font>
      <sz val="8"/>
      <name val="Palatino Linotype"/>
      <family val="1"/>
    </font>
    <font>
      <u/>
      <sz val="10"/>
      <color indexed="12"/>
      <name val="Verdana"/>
    </font>
    <font>
      <u/>
      <sz val="10"/>
      <color indexed="20"/>
      <name val="Verdana"/>
    </font>
    <font>
      <sz val="10"/>
      <color indexed="8"/>
      <name val="Times New Roman"/>
      <family val="1"/>
    </font>
    <font>
      <b/>
      <sz val="9"/>
      <name val="Palatino"/>
    </font>
    <font>
      <u/>
      <sz val="10"/>
      <color theme="10"/>
      <name val="Verdana"/>
    </font>
    <font>
      <u/>
      <sz val="10"/>
      <color theme="11"/>
      <name val="Verdana"/>
    </font>
    <font>
      <sz val="9"/>
      <color rgb="FFFF0000"/>
      <name val="Palatino Linotype"/>
    </font>
    <font>
      <u/>
      <sz val="10"/>
      <color theme="10"/>
      <name val="Verdana"/>
      <family val="2"/>
    </font>
    <font>
      <b/>
      <sz val="9"/>
      <color indexed="81"/>
      <name val="Tahoma"/>
    </font>
    <font>
      <sz val="9"/>
      <color indexed="81"/>
      <name val="Tahoma"/>
    </font>
    <font>
      <sz val="10"/>
      <color indexed="10"/>
      <name val="Verdana"/>
      <family val="2"/>
    </font>
    <font>
      <b/>
      <u/>
      <sz val="9"/>
      <name val="Palatino Linotype"/>
      <family val="1"/>
    </font>
    <font>
      <b/>
      <sz val="9"/>
      <color rgb="FFFF0000"/>
      <name val="Palatino Linotype"/>
      <family val="1"/>
    </font>
    <font>
      <b/>
      <sz val="16"/>
      <name val="Palatino Linotype"/>
      <family val="1"/>
    </font>
  </fonts>
  <fills count="4">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s>
  <borders count="14">
    <border>
      <left/>
      <right/>
      <top/>
      <bottom/>
      <diagonal/>
    </border>
    <border>
      <left/>
      <right/>
      <top style="thin">
        <color auto="1"/>
      </top>
      <bottom style="double">
        <color auto="1"/>
      </bottom>
      <diagonal/>
    </border>
    <border>
      <left/>
      <right/>
      <top/>
      <bottom style="thin">
        <color auto="1"/>
      </bottom>
      <diagonal/>
    </border>
    <border>
      <left/>
      <right/>
      <top style="thin">
        <color auto="1"/>
      </top>
      <bottom/>
      <diagonal/>
    </border>
    <border>
      <left/>
      <right/>
      <top/>
      <bottom style="double">
        <color auto="1"/>
      </bottom>
      <diagonal/>
    </border>
    <border>
      <left/>
      <right/>
      <top style="double">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70">
    <xf numFmtId="0" fontId="0" fillId="0" borderId="0"/>
    <xf numFmtId="43" fontId="4" fillId="0" borderId="0" applyFont="0" applyFill="0" applyBorder="0" applyAlignment="0" applyProtection="0"/>
    <xf numFmtId="9" fontId="4" fillId="0" borderId="0" applyFont="0" applyFill="0" applyBorder="0" applyAlignment="0" applyProtection="0"/>
    <xf numFmtId="0" fontId="11" fillId="0" borderId="0"/>
    <xf numFmtId="0" fontId="14" fillId="0" borderId="0"/>
    <xf numFmtId="0" fontId="18" fillId="0" borderId="0" applyNumberFormat="0" applyFill="0" applyBorder="0" applyAlignment="0" applyProtection="0"/>
    <xf numFmtId="0" fontId="19"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5" fillId="0" borderId="0" applyNumberFormat="0" applyFill="0" applyBorder="0" applyAlignment="0" applyProtection="0"/>
  </cellStyleXfs>
  <cellXfs count="123">
    <xf numFmtId="0" fontId="0" fillId="0" borderId="0" xfId="0"/>
    <xf numFmtId="16" fontId="0" fillId="0" borderId="0" xfId="0" applyNumberFormat="1"/>
    <xf numFmtId="0" fontId="6" fillId="0" borderId="0" xfId="0" applyFont="1"/>
    <xf numFmtId="0" fontId="7" fillId="0" borderId="0" xfId="0" applyFont="1"/>
    <xf numFmtId="0" fontId="7" fillId="0" borderId="1" xfId="0" applyFont="1" applyBorder="1"/>
    <xf numFmtId="0" fontId="7" fillId="0" borderId="1" xfId="0" applyFont="1" applyBorder="1" applyAlignment="1">
      <alignment horizontal="center" wrapText="1"/>
    </xf>
    <xf numFmtId="3" fontId="7" fillId="0" borderId="0" xfId="0" applyNumberFormat="1" applyFont="1" applyBorder="1"/>
    <xf numFmtId="3" fontId="7" fillId="0" borderId="0" xfId="0" applyNumberFormat="1" applyFont="1" applyBorder="1" applyAlignment="1">
      <alignment horizontal="center"/>
    </xf>
    <xf numFmtId="2" fontId="7" fillId="0" borderId="0" xfId="0" applyNumberFormat="1" applyFont="1" applyFill="1" applyBorder="1" applyAlignment="1">
      <alignment horizontal="center"/>
    </xf>
    <xf numFmtId="10" fontId="7" fillId="0" borderId="0" xfId="0" applyNumberFormat="1" applyFont="1" applyBorder="1" applyAlignment="1">
      <alignment horizontal="center"/>
    </xf>
    <xf numFmtId="2" fontId="7" fillId="0" borderId="0" xfId="0" applyNumberFormat="1" applyFont="1" applyBorder="1" applyAlignment="1">
      <alignment horizontal="center"/>
    </xf>
    <xf numFmtId="3" fontId="7" fillId="0" borderId="0" xfId="0" applyNumberFormat="1" applyFont="1"/>
    <xf numFmtId="164" fontId="8" fillId="0" borderId="0" xfId="1" applyNumberFormat="1" applyFont="1" applyBorder="1" applyAlignment="1">
      <alignment horizontal="center" vertical="center"/>
    </xf>
    <xf numFmtId="165" fontId="7" fillId="0" borderId="0" xfId="2" applyNumberFormat="1" applyFont="1"/>
    <xf numFmtId="9" fontId="7" fillId="0" borderId="0" xfId="2" applyFont="1"/>
    <xf numFmtId="165" fontId="7" fillId="0" borderId="0" xfId="2" applyNumberFormat="1" applyFont="1" applyBorder="1" applyAlignment="1">
      <alignment vertical="center"/>
    </xf>
    <xf numFmtId="1" fontId="7" fillId="0" borderId="0" xfId="0" applyNumberFormat="1" applyFont="1" applyBorder="1" applyAlignment="1">
      <alignment horizontal="center"/>
    </xf>
    <xf numFmtId="4" fontId="7" fillId="0" borderId="0" xfId="0" applyNumberFormat="1" applyFont="1" applyBorder="1" applyAlignment="1">
      <alignment horizontal="center"/>
    </xf>
    <xf numFmtId="3" fontId="6" fillId="0" borderId="0" xfId="0" applyNumberFormat="1" applyFont="1" applyBorder="1" applyAlignment="1">
      <alignment wrapText="1"/>
    </xf>
    <xf numFmtId="3" fontId="6" fillId="0" borderId="0" xfId="0" applyNumberFormat="1" applyFont="1" applyBorder="1" applyAlignment="1">
      <alignment horizontal="center"/>
    </xf>
    <xf numFmtId="1" fontId="6" fillId="0" borderId="0" xfId="0" applyNumberFormat="1" applyFont="1" applyBorder="1" applyAlignment="1">
      <alignment horizontal="center"/>
    </xf>
    <xf numFmtId="3" fontId="6" fillId="0" borderId="0" xfId="0" applyNumberFormat="1" applyFont="1" applyBorder="1"/>
    <xf numFmtId="0" fontId="7" fillId="0" borderId="0" xfId="0" applyFont="1" applyBorder="1" applyAlignment="1">
      <alignment horizontal="left"/>
    </xf>
    <xf numFmtId="3" fontId="7" fillId="0" borderId="0" xfId="0" applyNumberFormat="1" applyFont="1" applyBorder="1" applyAlignment="1">
      <alignment horizontal="left"/>
    </xf>
    <xf numFmtId="166" fontId="7" fillId="0" borderId="0" xfId="0" applyNumberFormat="1" applyFont="1" applyBorder="1" applyAlignment="1">
      <alignment horizontal="center"/>
    </xf>
    <xf numFmtId="0" fontId="7" fillId="0" borderId="2" xfId="0" applyFont="1" applyBorder="1" applyAlignment="1">
      <alignment horizontal="left"/>
    </xf>
    <xf numFmtId="1" fontId="7" fillId="0" borderId="2" xfId="0" applyNumberFormat="1" applyFont="1" applyBorder="1" applyAlignment="1">
      <alignment horizontal="center"/>
    </xf>
    <xf numFmtId="0" fontId="12" fillId="0" borderId="0" xfId="3" applyFont="1"/>
    <xf numFmtId="0" fontId="13" fillId="0" borderId="0" xfId="3" applyFont="1"/>
    <xf numFmtId="0" fontId="13" fillId="0" borderId="0" xfId="3" applyFont="1" applyAlignment="1">
      <alignment horizontal="center"/>
    </xf>
    <xf numFmtId="167" fontId="13" fillId="0" borderId="0" xfId="3" applyNumberFormat="1" applyFont="1" applyAlignment="1">
      <alignment horizontal="center"/>
    </xf>
    <xf numFmtId="0" fontId="12" fillId="0" borderId="1" xfId="3" applyFont="1" applyBorder="1" applyAlignment="1">
      <alignment horizontal="center"/>
    </xf>
    <xf numFmtId="167" fontId="12" fillId="0" borderId="1" xfId="3" applyNumberFormat="1" applyFont="1" applyBorder="1" applyAlignment="1">
      <alignment horizontal="center"/>
    </xf>
    <xf numFmtId="0" fontId="13" fillId="0" borderId="0" xfId="4" applyFont="1"/>
    <xf numFmtId="0" fontId="13" fillId="0" borderId="0" xfId="3" applyFont="1" applyBorder="1"/>
    <xf numFmtId="167" fontId="13" fillId="0" borderId="0" xfId="3" applyNumberFormat="1" applyFont="1"/>
    <xf numFmtId="0" fontId="12" fillId="0" borderId="3" xfId="3" applyFont="1" applyBorder="1"/>
    <xf numFmtId="167" fontId="12" fillId="0" borderId="3" xfId="3" applyNumberFormat="1" applyFont="1" applyBorder="1" applyAlignment="1">
      <alignment horizontal="center"/>
    </xf>
    <xf numFmtId="0" fontId="13" fillId="0" borderId="4" xfId="3" applyFont="1" applyBorder="1"/>
    <xf numFmtId="167" fontId="13" fillId="0" borderId="4" xfId="3" applyNumberFormat="1" applyFont="1" applyBorder="1" applyAlignment="1">
      <alignment horizontal="center"/>
    </xf>
    <xf numFmtId="0" fontId="15" fillId="0" borderId="0" xfId="3" applyFont="1"/>
    <xf numFmtId="0" fontId="16" fillId="0" borderId="0" xfId="3" applyFont="1"/>
    <xf numFmtId="0" fontId="16" fillId="0" borderId="0" xfId="3" applyFont="1" applyAlignment="1"/>
    <xf numFmtId="167" fontId="16" fillId="0" borderId="0" xfId="3" applyNumberFormat="1" applyFont="1" applyAlignment="1"/>
    <xf numFmtId="167" fontId="17" fillId="0" borderId="0" xfId="3" applyNumberFormat="1" applyFont="1" applyBorder="1" applyAlignment="1"/>
    <xf numFmtId="0" fontId="7" fillId="0" borderId="0" xfId="3" applyFont="1" applyBorder="1" applyAlignment="1">
      <alignment horizontal="justify" wrapText="1"/>
    </xf>
    <xf numFmtId="167" fontId="7" fillId="0" borderId="0" xfId="3" applyNumberFormat="1" applyFont="1" applyBorder="1" applyAlignment="1">
      <alignment horizontal="center" wrapText="1"/>
    </xf>
    <xf numFmtId="0" fontId="7" fillId="0" borderId="0" xfId="3" applyFont="1" applyAlignment="1">
      <alignment horizontal="justify" wrapText="1"/>
    </xf>
    <xf numFmtId="167" fontId="7" fillId="0" borderId="0" xfId="3" applyNumberFormat="1" applyFont="1" applyAlignment="1">
      <alignment horizontal="center" wrapText="1"/>
    </xf>
    <xf numFmtId="0" fontId="13" fillId="0" borderId="0" xfId="4" applyFont="1" applyBorder="1"/>
    <xf numFmtId="2" fontId="13" fillId="0" borderId="0" xfId="3" applyNumberFormat="1" applyFont="1" applyBorder="1" applyAlignment="1">
      <alignment horizontal="center"/>
    </xf>
    <xf numFmtId="0" fontId="11" fillId="0" borderId="0" xfId="3"/>
    <xf numFmtId="0" fontId="13" fillId="0" borderId="0" xfId="3" applyFont="1" applyBorder="1" applyAlignment="1">
      <alignment horizontal="center"/>
    </xf>
    <xf numFmtId="2" fontId="12" fillId="0" borderId="3" xfId="3" applyNumberFormat="1" applyFont="1" applyBorder="1" applyAlignment="1">
      <alignment horizontal="center"/>
    </xf>
    <xf numFmtId="0" fontId="15" fillId="0" borderId="0" xfId="3" applyFont="1" applyAlignment="1">
      <alignment horizontal="center"/>
    </xf>
    <xf numFmtId="0" fontId="12" fillId="0" borderId="0" xfId="3" applyFont="1" applyBorder="1"/>
    <xf numFmtId="167" fontId="13" fillId="0" borderId="0" xfId="3" applyNumberFormat="1" applyFont="1" applyBorder="1" applyAlignment="1">
      <alignment horizontal="center"/>
    </xf>
    <xf numFmtId="167" fontId="13" fillId="0" borderId="2" xfId="3" applyNumberFormat="1" applyFont="1" applyBorder="1" applyAlignment="1">
      <alignment horizontal="center"/>
    </xf>
    <xf numFmtId="0" fontId="13" fillId="0" borderId="2" xfId="3" applyFont="1" applyBorder="1"/>
    <xf numFmtId="0" fontId="13" fillId="0" borderId="2" xfId="3" applyFont="1" applyBorder="1" applyAlignment="1">
      <alignment horizontal="center"/>
    </xf>
    <xf numFmtId="0" fontId="12" fillId="0" borderId="2" xfId="3" applyFont="1" applyBorder="1"/>
    <xf numFmtId="2" fontId="12" fillId="0" borderId="2" xfId="3" applyNumberFormat="1" applyFont="1" applyBorder="1" applyAlignment="1">
      <alignment horizontal="center"/>
    </xf>
    <xf numFmtId="167" fontId="12" fillId="0" borderId="0" xfId="3" applyNumberFormat="1" applyFont="1" applyAlignment="1">
      <alignment horizontal="center"/>
    </xf>
    <xf numFmtId="2" fontId="6" fillId="0" borderId="0" xfId="0" applyNumberFormat="1" applyFont="1" applyBorder="1" applyAlignment="1">
      <alignment horizontal="center"/>
    </xf>
    <xf numFmtId="3" fontId="6" fillId="0" borderId="0" xfId="0" applyNumberFormat="1" applyFont="1"/>
    <xf numFmtId="169" fontId="7" fillId="0" borderId="0" xfId="0" applyNumberFormat="1" applyFont="1" applyBorder="1" applyAlignment="1">
      <alignment horizontal="center"/>
    </xf>
    <xf numFmtId="0" fontId="7" fillId="0" borderId="0" xfId="0" applyFont="1" applyBorder="1" applyAlignment="1">
      <alignment horizontal="center" wrapText="1"/>
    </xf>
    <xf numFmtId="1" fontId="7" fillId="0" borderId="0" xfId="0" applyNumberFormat="1" applyFont="1" applyFill="1" applyBorder="1" applyAlignment="1">
      <alignment horizontal="center"/>
    </xf>
    <xf numFmtId="169" fontId="7" fillId="0" borderId="0" xfId="0" applyNumberFormat="1" applyFont="1" applyFill="1" applyBorder="1" applyAlignment="1">
      <alignment horizontal="center"/>
    </xf>
    <xf numFmtId="0" fontId="7" fillId="0" borderId="1" xfId="0" applyFont="1" applyFill="1" applyBorder="1" applyAlignment="1">
      <alignment horizontal="center" wrapText="1"/>
    </xf>
    <xf numFmtId="0" fontId="7" fillId="0" borderId="0"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167" fontId="20" fillId="0" borderId="0" xfId="0" applyNumberFormat="1" applyFont="1" applyAlignment="1">
      <alignment horizontal="center" vertical="center"/>
    </xf>
    <xf numFmtId="2" fontId="21" fillId="0" borderId="3" xfId="0" applyNumberFormat="1" applyFont="1" applyBorder="1" applyAlignment="1">
      <alignment horizontal="center"/>
    </xf>
    <xf numFmtId="169" fontId="6" fillId="0" borderId="0" xfId="2" applyNumberFormat="1" applyFont="1" applyBorder="1" applyAlignment="1">
      <alignment horizontal="center"/>
    </xf>
    <xf numFmtId="2" fontId="20" fillId="0" borderId="0" xfId="0" applyNumberFormat="1" applyFont="1" applyAlignment="1">
      <alignment horizontal="center" vertical="center"/>
    </xf>
    <xf numFmtId="0" fontId="24" fillId="2" borderId="0" xfId="0" applyFont="1" applyFill="1"/>
    <xf numFmtId="167" fontId="7" fillId="0" borderId="0" xfId="0" applyNumberFormat="1" applyFont="1" applyFill="1" applyBorder="1" applyAlignment="1">
      <alignment horizontal="center"/>
    </xf>
    <xf numFmtId="167" fontId="7" fillId="0" borderId="0" xfId="0" applyNumberFormat="1" applyFont="1" applyBorder="1" applyAlignment="1">
      <alignment horizontal="center"/>
    </xf>
    <xf numFmtId="167" fontId="6" fillId="0" borderId="0" xfId="2" applyNumberFormat="1" applyFont="1" applyBorder="1" applyAlignment="1">
      <alignment horizontal="center"/>
    </xf>
    <xf numFmtId="2" fontId="7" fillId="0" borderId="0" xfId="0" applyNumberFormat="1" applyFont="1"/>
    <xf numFmtId="2" fontId="7" fillId="0" borderId="0" xfId="0" applyNumberFormat="1" applyFont="1" applyBorder="1" applyAlignment="1">
      <alignment horizontal="center" wrapText="1"/>
    </xf>
    <xf numFmtId="2" fontId="7" fillId="0" borderId="1" xfId="0" applyNumberFormat="1" applyFont="1" applyBorder="1" applyAlignment="1">
      <alignment horizontal="center" wrapText="1"/>
    </xf>
    <xf numFmtId="167" fontId="7" fillId="0" borderId="2" xfId="0" applyNumberFormat="1" applyFont="1" applyBorder="1" applyAlignment="1">
      <alignment horizontal="center"/>
    </xf>
    <xf numFmtId="167" fontId="6" fillId="0" borderId="0" xfId="0" applyNumberFormat="1" applyFont="1" applyBorder="1" applyAlignment="1">
      <alignment horizontal="center"/>
    </xf>
    <xf numFmtId="165" fontId="7" fillId="0" borderId="0" xfId="0" applyNumberFormat="1" applyFont="1" applyBorder="1" applyAlignment="1">
      <alignment horizontal="center"/>
    </xf>
    <xf numFmtId="165" fontId="6" fillId="0" borderId="0" xfId="2" applyNumberFormat="1" applyFont="1" applyBorder="1" applyAlignment="1">
      <alignment horizontal="center"/>
    </xf>
    <xf numFmtId="165" fontId="7" fillId="0" borderId="2" xfId="0" applyNumberFormat="1" applyFont="1" applyBorder="1" applyAlignment="1">
      <alignment horizontal="center"/>
    </xf>
    <xf numFmtId="172" fontId="6" fillId="0" borderId="0" xfId="0" applyNumberFormat="1" applyFont="1"/>
    <xf numFmtId="0" fontId="17" fillId="0" borderId="3" xfId="0" applyFont="1" applyBorder="1" applyAlignment="1">
      <alignment horizontal="left" wrapText="1"/>
    </xf>
    <xf numFmtId="0" fontId="17" fillId="0" borderId="0" xfId="0" applyFont="1" applyBorder="1" applyAlignment="1">
      <alignment horizontal="left" wrapText="1"/>
    </xf>
    <xf numFmtId="0" fontId="17" fillId="0" borderId="0" xfId="0" applyFont="1" applyAlignment="1">
      <alignment horizontal="left" wrapText="1"/>
    </xf>
    <xf numFmtId="167" fontId="16" fillId="0" borderId="5" xfId="3" applyNumberFormat="1" applyFont="1" applyBorder="1" applyAlignment="1">
      <alignment horizontal="left" wrapText="1"/>
    </xf>
    <xf numFmtId="0" fontId="16" fillId="0" borderId="0" xfId="3" applyFont="1" applyAlignment="1">
      <alignment horizontal="left" wrapText="1"/>
    </xf>
    <xf numFmtId="0" fontId="16" fillId="0" borderId="0" xfId="3" applyFont="1" applyAlignment="1">
      <alignment wrapText="1"/>
    </xf>
    <xf numFmtId="0" fontId="11" fillId="0" borderId="0" xfId="3" applyAlignment="1">
      <alignment wrapText="1"/>
    </xf>
    <xf numFmtId="0" fontId="7" fillId="3" borderId="0" xfId="0" applyFont="1" applyFill="1" applyBorder="1" applyAlignment="1">
      <alignment horizontal="center" wrapText="1"/>
    </xf>
    <xf numFmtId="9" fontId="7" fillId="0" borderId="0" xfId="2" applyFont="1" applyBorder="1" applyAlignment="1">
      <alignment horizontal="center"/>
    </xf>
    <xf numFmtId="9" fontId="7" fillId="0" borderId="0" xfId="2" applyNumberFormat="1" applyFont="1" applyBorder="1" applyAlignment="1">
      <alignment horizontal="center"/>
    </xf>
    <xf numFmtId="3" fontId="7" fillId="2" borderId="0" xfId="0" applyNumberFormat="1" applyFont="1" applyFill="1" applyAlignment="1">
      <alignment horizontal="center"/>
    </xf>
    <xf numFmtId="9" fontId="7" fillId="2" borderId="0" xfId="2" applyNumberFormat="1" applyFont="1" applyFill="1" applyBorder="1" applyAlignment="1">
      <alignment horizontal="center"/>
    </xf>
    <xf numFmtId="0" fontId="7" fillId="0" borderId="0" xfId="0" applyFont="1" applyAlignment="1">
      <alignment horizontal="center"/>
    </xf>
    <xf numFmtId="1" fontId="7" fillId="0" borderId="0" xfId="0" applyNumberFormat="1" applyFont="1" applyAlignment="1">
      <alignment horizontal="center"/>
    </xf>
    <xf numFmtId="0" fontId="7" fillId="0" borderId="0" xfId="0" applyFont="1" applyAlignment="1">
      <alignment horizontal="left"/>
    </xf>
    <xf numFmtId="1" fontId="7" fillId="0" borderId="0" xfId="0" applyNumberFormat="1" applyFont="1" applyBorder="1" applyAlignment="1">
      <alignment horizontal="center" wrapText="1"/>
    </xf>
    <xf numFmtId="3" fontId="7" fillId="0" borderId="0" xfId="0" applyNumberFormat="1" applyFont="1" applyAlignment="1">
      <alignment horizontal="center"/>
    </xf>
    <xf numFmtId="166" fontId="28" fillId="0" borderId="0" xfId="0" applyNumberFormat="1" applyFont="1" applyBorder="1" applyAlignment="1">
      <alignment horizontal="center"/>
    </xf>
    <xf numFmtId="165" fontId="7" fillId="0" borderId="0" xfId="2" applyNumberFormat="1" applyFont="1" applyAlignment="1">
      <alignment horizontal="center"/>
    </xf>
    <xf numFmtId="9" fontId="7" fillId="0" borderId="0" xfId="0" applyNumberFormat="1" applyFont="1" applyAlignment="1">
      <alignment horizontal="center"/>
    </xf>
    <xf numFmtId="9" fontId="7" fillId="0" borderId="0" xfId="2" applyFont="1" applyAlignment="1">
      <alignment horizontal="center"/>
    </xf>
    <xf numFmtId="1" fontId="7" fillId="0" borderId="6" xfId="0" applyNumberFormat="1" applyFont="1" applyBorder="1" applyAlignment="1">
      <alignment horizontal="left"/>
    </xf>
    <xf numFmtId="0" fontId="7" fillId="0" borderId="7" xfId="0" applyFont="1" applyBorder="1" applyAlignment="1">
      <alignment horizontal="center"/>
    </xf>
    <xf numFmtId="0" fontId="7" fillId="0" borderId="8" xfId="0" applyFont="1" applyBorder="1" applyAlignment="1">
      <alignment horizontal="center"/>
    </xf>
    <xf numFmtId="16" fontId="7" fillId="0" borderId="0" xfId="0" quotePrefix="1" applyNumberFormat="1" applyFont="1" applyBorder="1" applyAlignment="1">
      <alignment horizontal="center"/>
    </xf>
    <xf numFmtId="0" fontId="7" fillId="0" borderId="0" xfId="0" quotePrefix="1" applyFont="1" applyBorder="1" applyAlignment="1">
      <alignment horizontal="center"/>
    </xf>
    <xf numFmtId="0" fontId="7" fillId="0" borderId="11" xfId="0" applyFont="1" applyBorder="1" applyAlignment="1">
      <alignment horizontal="center"/>
    </xf>
    <xf numFmtId="0" fontId="7" fillId="0" borderId="12" xfId="0" quotePrefix="1" applyFont="1" applyBorder="1" applyAlignment="1">
      <alignment horizontal="center"/>
    </xf>
    <xf numFmtId="0" fontId="7" fillId="0" borderId="13" xfId="0" applyFont="1" applyBorder="1" applyAlignment="1">
      <alignment horizontal="center"/>
    </xf>
    <xf numFmtId="0" fontId="29" fillId="0" borderId="0" xfId="0" applyFont="1" applyAlignment="1">
      <alignment horizontal="left"/>
    </xf>
    <xf numFmtId="0" fontId="30" fillId="0" borderId="0" xfId="0" applyFont="1" applyAlignment="1">
      <alignment horizontal="left"/>
    </xf>
    <xf numFmtId="3" fontId="25" fillId="0" borderId="0" xfId="69" quotePrefix="1" applyNumberFormat="1" applyBorder="1" applyAlignment="1">
      <alignment horizontal="left"/>
    </xf>
    <xf numFmtId="0" fontId="31" fillId="0" borderId="0" xfId="0" applyFont="1" applyAlignment="1">
      <alignment horizontal="left"/>
    </xf>
  </cellXfs>
  <cellStyles count="70">
    <cellStyle name="Comma" xfId="1" builtinId="3"/>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cellStyle name="Normal" xfId="0" builtinId="0"/>
    <cellStyle name="Normal 2" xfId="3"/>
    <cellStyle name="Normal 6 2" xfId="4"/>
    <cellStyle name="Percent" xfId="2"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Users/latikac/Dropbox/BRIC%20Project/Data/Table1_RelatedMaterials_OCt2011_AldoEdi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teracy"/>
      <sheetName val="Enrollment"/>
      <sheetName val="COMPARATIVE TABLE for paper"/>
      <sheetName val="COMPARATIVE TABLE EDUC"/>
      <sheetName val="Comparative table"/>
      <sheetName val="Brazil figures"/>
    </sheetNames>
    <sheetDataSet>
      <sheetData sheetId="0"/>
      <sheetData sheetId="1"/>
      <sheetData sheetId="2"/>
      <sheetData sheetId="3"/>
      <sheetData sheetId="4">
        <row r="6">
          <cell r="L6">
            <v>11.152199177479886</v>
          </cell>
        </row>
        <row r="7">
          <cell r="W7">
            <v>24199612</v>
          </cell>
        </row>
        <row r="8">
          <cell r="W8">
            <v>51073710.600000001</v>
          </cell>
        </row>
        <row r="9">
          <cell r="W9">
            <v>63324452.800000004</v>
          </cell>
        </row>
      </sheetData>
      <sheetData sheetId="5"/>
      <sheetData sheetId="6">
        <row r="11">
          <cell r="C11">
            <v>638378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W54"/>
  <sheetViews>
    <sheetView zoomScale="90" zoomScaleNormal="90" zoomScalePageLayoutView="145" workbookViewId="0">
      <selection activeCell="B41" sqref="B41"/>
    </sheetView>
  </sheetViews>
  <sheetFormatPr defaultColWidth="9" defaultRowHeight="14.25"/>
  <cols>
    <col min="1" max="1" width="22.625" style="3" customWidth="1"/>
    <col min="2" max="2" width="11.75" style="3" customWidth="1"/>
    <col min="3" max="3" width="12.25" style="3" customWidth="1"/>
    <col min="4" max="4" width="13.75" style="3" customWidth="1"/>
    <col min="5" max="5" width="12.25" style="3" customWidth="1"/>
    <col min="6" max="6" width="9.125" style="3" bestFit="1" customWidth="1"/>
    <col min="7" max="7" width="9.125" style="3" customWidth="1"/>
    <col min="8" max="8" width="9.125" style="3" bestFit="1" customWidth="1"/>
    <col min="9" max="10" width="10.25" style="81" customWidth="1"/>
    <col min="11" max="11" width="10" style="3" bestFit="1" customWidth="1"/>
    <col min="12" max="16384" width="9" style="3"/>
  </cols>
  <sheetData>
    <row r="1" spans="1:23">
      <c r="A1" s="2" t="s">
        <v>76</v>
      </c>
      <c r="B1" s="2"/>
    </row>
    <row r="2" spans="1:23" ht="87" customHeight="1" thickBot="1">
      <c r="A2" s="4" t="s">
        <v>77</v>
      </c>
      <c r="B2" s="5" t="s">
        <v>78</v>
      </c>
      <c r="C2" s="5" t="s">
        <v>79</v>
      </c>
      <c r="D2" s="69" t="s">
        <v>62</v>
      </c>
      <c r="E2" s="5" t="s">
        <v>80</v>
      </c>
      <c r="F2" s="5" t="s">
        <v>81</v>
      </c>
      <c r="G2" s="5" t="s">
        <v>182</v>
      </c>
      <c r="H2" s="5" t="s">
        <v>180</v>
      </c>
      <c r="I2" s="83" t="s">
        <v>186</v>
      </c>
      <c r="J2" s="82"/>
      <c r="M2" s="3" t="s">
        <v>83</v>
      </c>
      <c r="R2" s="3" t="s">
        <v>61</v>
      </c>
      <c r="V2" s="5" t="s">
        <v>60</v>
      </c>
      <c r="W2" s="77" t="s">
        <v>181</v>
      </c>
    </row>
    <row r="3" spans="1:23" s="11" customFormat="1" ht="15" thickTop="1">
      <c r="A3" s="6" t="s">
        <v>84</v>
      </c>
      <c r="B3" s="7">
        <v>811</v>
      </c>
      <c r="C3" s="8">
        <v>1.32</v>
      </c>
      <c r="D3" s="86">
        <v>1.8066584463625152E-2</v>
      </c>
      <c r="E3" s="10">
        <v>11.152199177479886</v>
      </c>
      <c r="F3" s="67">
        <v>31</v>
      </c>
      <c r="G3" s="78">
        <v>2.8420428050673459</v>
      </c>
      <c r="H3" s="78">
        <v>11.989941887628417</v>
      </c>
      <c r="I3" s="79">
        <v>12.3</v>
      </c>
      <c r="J3" s="10"/>
      <c r="L3" s="11">
        <f>H3/100</f>
        <v>0.11989941887628416</v>
      </c>
      <c r="M3" s="12">
        <v>5324279.3499999996</v>
      </c>
      <c r="N3" s="13">
        <f>M3/$M$7</f>
        <v>3.6994186605024133E-2</v>
      </c>
      <c r="O3" s="14"/>
      <c r="P3" s="11">
        <v>159594.5</v>
      </c>
      <c r="Q3" s="15">
        <f>P3/$P$7</f>
        <v>9.0239842981785487E-2</v>
      </c>
      <c r="R3" s="11">
        <v>20592.83870967742</v>
      </c>
      <c r="V3" s="68" t="e">
        <f>#REF!/#REF!</f>
        <v>#REF!</v>
      </c>
    </row>
    <row r="4" spans="1:23" s="11" customFormat="1">
      <c r="A4" s="6" t="s">
        <v>85</v>
      </c>
      <c r="B4" s="7">
        <v>1488</v>
      </c>
      <c r="C4" s="8">
        <v>2.8</v>
      </c>
      <c r="D4" s="86">
        <v>2.0887096774193547E-2</v>
      </c>
      <c r="E4" s="10">
        <v>7.0677395662622349</v>
      </c>
      <c r="F4" s="16">
        <v>28</v>
      </c>
      <c r="G4" s="79">
        <v>6.0312487062072355</v>
      </c>
      <c r="H4" s="79">
        <v>19.504377314931901</v>
      </c>
      <c r="I4" s="79" t="s">
        <v>184</v>
      </c>
      <c r="J4" s="10"/>
      <c r="L4" s="11">
        <f t="shared" ref="L4:L27" si="0">H4/100</f>
        <v>0.19504377314931901</v>
      </c>
      <c r="M4" s="11">
        <f>'[1]COMPARATIVE TABLE EDUC'!W7</f>
        <v>24199612</v>
      </c>
      <c r="N4" s="13">
        <f t="shared" ref="N4:N6" si="1">M4/$M$7</f>
        <v>0.16814387511376189</v>
      </c>
      <c r="P4" s="11">
        <v>860743.35</v>
      </c>
      <c r="Q4" s="15">
        <f>P4/$P$7</f>
        <v>0.48669186439141715</v>
      </c>
      <c r="R4" s="11">
        <v>170894</v>
      </c>
      <c r="S4" s="11">
        <v>28334762.554911632</v>
      </c>
      <c r="V4" s="65" t="e">
        <f>AG4/AH4</f>
        <v>#DIV/0!</v>
      </c>
    </row>
    <row r="5" spans="1:23" s="11" customFormat="1">
      <c r="A5" s="6" t="s">
        <v>86</v>
      </c>
      <c r="B5" s="7">
        <v>673</v>
      </c>
      <c r="C5" s="8">
        <v>0.1</v>
      </c>
      <c r="D5" s="86">
        <v>1.6493313521545319E-3</v>
      </c>
      <c r="E5" s="10">
        <v>1.2528383597647208</v>
      </c>
      <c r="F5" s="16">
        <v>29.10930852771083</v>
      </c>
      <c r="G5" s="79">
        <v>2.6779854423212024</v>
      </c>
      <c r="H5" s="79">
        <v>7.7950000000000008</v>
      </c>
      <c r="I5" s="79">
        <v>6.5</v>
      </c>
      <c r="J5" s="10"/>
      <c r="L5" s="11">
        <f t="shared" si="0"/>
        <v>7.7950000000000005E-2</v>
      </c>
      <c r="M5" s="11">
        <f>'[1]COMPARATIVE TABLE EDUC'!W8</f>
        <v>51073710.600000001</v>
      </c>
      <c r="N5" s="13">
        <f t="shared" si="1"/>
        <v>0.35487063250116641</v>
      </c>
      <c r="P5" s="11">
        <v>748221.29999999993</v>
      </c>
      <c r="Q5" s="15">
        <f>P5/$P$7</f>
        <v>0.42306829262679735</v>
      </c>
      <c r="R5" s="11">
        <v>171359</v>
      </c>
      <c r="S5" s="11">
        <v>63988025.211769201</v>
      </c>
      <c r="V5" s="65" t="e">
        <f>AG5/AH5</f>
        <v>#DIV/0!</v>
      </c>
    </row>
    <row r="6" spans="1:23" s="11" customFormat="1">
      <c r="A6" s="6" t="s">
        <v>87</v>
      </c>
      <c r="B6" s="7">
        <v>552</v>
      </c>
      <c r="C6" s="8">
        <v>0.16</v>
      </c>
      <c r="D6" s="86">
        <v>3.217391304347826E-3</v>
      </c>
      <c r="E6" s="10">
        <v>3.5848317909630785</v>
      </c>
      <c r="F6" s="16" t="s">
        <v>88</v>
      </c>
      <c r="G6" s="16" t="s">
        <v>179</v>
      </c>
      <c r="H6" s="79">
        <v>4.0132062682283598</v>
      </c>
      <c r="I6" s="79" t="s">
        <v>185</v>
      </c>
      <c r="J6" s="10"/>
      <c r="L6" s="11">
        <f t="shared" si="0"/>
        <v>4.0132062682283601E-2</v>
      </c>
      <c r="M6" s="11">
        <f>'[1]COMPARATIVE TABLE EDUC'!W9</f>
        <v>63324452.800000004</v>
      </c>
      <c r="N6" s="13">
        <f t="shared" si="1"/>
        <v>0.43999130578004764</v>
      </c>
      <c r="V6" s="16" t="s">
        <v>179</v>
      </c>
    </row>
    <row r="7" spans="1:23" s="64" customFormat="1">
      <c r="A7" s="18" t="s">
        <v>89</v>
      </c>
      <c r="B7" s="19">
        <v>761.53</v>
      </c>
      <c r="C7" s="80">
        <v>0.62552084881208936</v>
      </c>
      <c r="D7" s="87">
        <v>6.181319449800291E-3</v>
      </c>
      <c r="E7" s="80">
        <v>3.6228540182533804</v>
      </c>
      <c r="F7" s="20">
        <v>31</v>
      </c>
      <c r="G7" s="80">
        <v>3.6956479429929154</v>
      </c>
      <c r="H7" s="80">
        <v>8.2550921776569819</v>
      </c>
      <c r="I7" s="85" t="s">
        <v>88</v>
      </c>
      <c r="J7" s="63"/>
      <c r="L7" s="64">
        <f t="shared" si="0"/>
        <v>8.2550921776569822E-2</v>
      </c>
      <c r="M7" s="64">
        <f>SUM(M3:M6)</f>
        <v>143922054.75</v>
      </c>
      <c r="N7" s="89">
        <f>(N3*B3) +(N4*B4)+(N5*B5)+(N6*B6)</f>
        <v>761.90350796982352</v>
      </c>
      <c r="P7" s="64">
        <f>SUM(P3:P5)</f>
        <v>1768559.15</v>
      </c>
      <c r="V7" s="75">
        <v>3.6956479429929153E-3</v>
      </c>
    </row>
    <row r="8" spans="1:23" s="11" customFormat="1">
      <c r="A8" s="21"/>
      <c r="B8" s="7"/>
      <c r="C8" s="8"/>
      <c r="D8" s="86"/>
      <c r="E8" s="10"/>
      <c r="F8" s="16"/>
      <c r="G8" s="16"/>
      <c r="H8" s="9"/>
      <c r="I8" s="10"/>
      <c r="J8" s="10"/>
      <c r="L8" s="11">
        <f t="shared" si="0"/>
        <v>0</v>
      </c>
      <c r="V8" s="16"/>
    </row>
    <row r="9" spans="1:23" s="11" customFormat="1">
      <c r="A9" s="22" t="s">
        <v>90</v>
      </c>
      <c r="B9" s="16">
        <v>5301</v>
      </c>
      <c r="C9" s="79">
        <v>20.917921613026163</v>
      </c>
      <c r="D9" s="86">
        <v>4.3800967723937066E-2</v>
      </c>
      <c r="E9" s="79">
        <v>21.764461203230905</v>
      </c>
      <c r="F9" s="16">
        <v>34.436399892625687</v>
      </c>
      <c r="G9" s="79">
        <v>27.909552202912607</v>
      </c>
      <c r="H9" s="79">
        <v>96.110450048361102</v>
      </c>
      <c r="I9" s="79">
        <v>89.600000000000009</v>
      </c>
      <c r="J9" s="10"/>
      <c r="L9" s="11">
        <f t="shared" si="0"/>
        <v>0.96110450048361107</v>
      </c>
      <c r="V9" s="65">
        <v>2.601897999772828E-2</v>
      </c>
    </row>
    <row r="10" spans="1:23" s="11" customFormat="1">
      <c r="A10" s="23" t="s">
        <v>91</v>
      </c>
      <c r="B10" s="16">
        <v>3465</v>
      </c>
      <c r="C10" s="79">
        <v>4.3026772727272729</v>
      </c>
      <c r="D10" s="86">
        <v>1.3783468319559228E-2</v>
      </c>
      <c r="E10" s="79">
        <v>6.864522419347538</v>
      </c>
      <c r="F10" s="16">
        <v>43.558066835134191</v>
      </c>
      <c r="G10" s="79">
        <v>14.389968652037618</v>
      </c>
      <c r="H10" s="79">
        <v>62.679921630094</v>
      </c>
      <c r="I10" s="79">
        <v>68</v>
      </c>
      <c r="J10" s="10"/>
      <c r="L10" s="11">
        <f t="shared" si="0"/>
        <v>0.62679921630094004</v>
      </c>
      <c r="V10" s="65">
        <v>1.7241379310344827E-2</v>
      </c>
    </row>
    <row r="11" spans="1:23" s="11" customFormat="1">
      <c r="A11" s="23" t="s">
        <v>92</v>
      </c>
      <c r="B11" s="16">
        <v>2098</v>
      </c>
      <c r="C11" s="79">
        <v>3.9199574014909477</v>
      </c>
      <c r="D11" s="86">
        <v>2.0739526766706158E-2</v>
      </c>
      <c r="E11" s="79">
        <v>5.5348397292757783</v>
      </c>
      <c r="F11" s="16">
        <v>103.84618988132418</v>
      </c>
      <c r="G11" s="79">
        <v>6.8200212992545257</v>
      </c>
      <c r="H11" s="79">
        <v>70.823322683706095</v>
      </c>
      <c r="I11" s="79">
        <v>52.6</v>
      </c>
      <c r="J11" s="10"/>
      <c r="L11" s="11">
        <f t="shared" si="0"/>
        <v>0.70823322683706091</v>
      </c>
      <c r="V11" s="65">
        <v>1.9725044829647341E-2</v>
      </c>
    </row>
    <row r="12" spans="1:23" s="11" customFormat="1">
      <c r="A12" s="23" t="s">
        <v>93</v>
      </c>
      <c r="B12" s="16">
        <v>3485</v>
      </c>
      <c r="C12" s="79">
        <v>6.4963523736600308</v>
      </c>
      <c r="D12" s="86">
        <v>2.0691394934756482E-2</v>
      </c>
      <c r="E12" s="79">
        <v>7.5955221328463169</v>
      </c>
      <c r="F12" s="16">
        <v>36.764386429163871</v>
      </c>
      <c r="G12" s="79">
        <v>23.264012251148547</v>
      </c>
      <c r="H12" s="79">
        <v>85.528713629402802</v>
      </c>
      <c r="I12" s="79">
        <v>84.8</v>
      </c>
      <c r="J12" s="10"/>
      <c r="L12" s="11">
        <f t="shared" si="0"/>
        <v>0.85528713629402797</v>
      </c>
      <c r="V12" s="65">
        <v>2.3841859061415421E-2</v>
      </c>
    </row>
    <row r="13" spans="1:23" s="11" customFormat="1">
      <c r="A13" s="23" t="s">
        <v>94</v>
      </c>
      <c r="B13" s="16">
        <v>3648</v>
      </c>
      <c r="C13" s="79">
        <v>8.6898252549238713</v>
      </c>
      <c r="D13" s="86">
        <v>2.6441080134225595E-2</v>
      </c>
      <c r="E13" s="79">
        <v>12.169346325480175</v>
      </c>
      <c r="F13" s="16">
        <v>61.370402828382261</v>
      </c>
      <c r="G13" s="79">
        <v>11.635493784048052</v>
      </c>
      <c r="H13" s="79">
        <v>71.407494063416706</v>
      </c>
      <c r="I13" s="79">
        <v>72</v>
      </c>
      <c r="J13" s="10"/>
      <c r="L13" s="11">
        <f t="shared" si="0"/>
        <v>0.7140749406341671</v>
      </c>
      <c r="V13" s="65">
        <v>1.3060483307724543E-2</v>
      </c>
    </row>
    <row r="14" spans="1:23" s="11" customFormat="1">
      <c r="A14" s="23" t="s">
        <v>95</v>
      </c>
      <c r="B14" s="16">
        <v>4921</v>
      </c>
      <c r="C14" s="79">
        <v>14.284984715853827</v>
      </c>
      <c r="D14" s="86">
        <v>3.2221770035760509E-2</v>
      </c>
      <c r="E14" s="79">
        <v>17.088239537448047</v>
      </c>
      <c r="F14" s="16">
        <v>33.870572207084471</v>
      </c>
      <c r="G14" s="79">
        <v>24.680839238571625</v>
      </c>
      <c r="H14" s="79">
        <v>83.595414756148401</v>
      </c>
      <c r="I14" s="79">
        <v>72.899999999999991</v>
      </c>
      <c r="J14" s="10"/>
      <c r="L14" s="11">
        <f t="shared" si="0"/>
        <v>0.83595414756148401</v>
      </c>
      <c r="V14" s="65">
        <v>2.2787272474642212E-2</v>
      </c>
    </row>
    <row r="15" spans="1:23" s="11" customFormat="1">
      <c r="A15" s="22" t="s">
        <v>96</v>
      </c>
      <c r="B15" s="16">
        <v>2736</v>
      </c>
      <c r="C15" s="79">
        <v>7.92229710982659</v>
      </c>
      <c r="D15" s="86">
        <v>3.2140898362235069E-2</v>
      </c>
      <c r="E15" s="79">
        <v>9.3303746970563406</v>
      </c>
      <c r="F15" s="16">
        <v>49.511932047997846</v>
      </c>
      <c r="G15" s="79">
        <v>17.149132947976877</v>
      </c>
      <c r="H15" s="79">
        <v>84.908670520231198</v>
      </c>
      <c r="I15" s="79">
        <v>57.4</v>
      </c>
      <c r="J15" s="10"/>
      <c r="L15" s="11">
        <f t="shared" si="0"/>
        <v>0.849086705202312</v>
      </c>
      <c r="V15" s="65">
        <v>1.5028901734104046E-2</v>
      </c>
    </row>
    <row r="16" spans="1:23" s="11" customFormat="1">
      <c r="A16" s="23" t="s">
        <v>97</v>
      </c>
      <c r="B16" s="16">
        <v>2564</v>
      </c>
      <c r="C16" s="79">
        <v>1.8199170173357244</v>
      </c>
      <c r="D16" s="86">
        <v>7.8787359174830492E-3</v>
      </c>
      <c r="E16" s="79">
        <v>4.8325625450683392</v>
      </c>
      <c r="F16" s="16">
        <v>41.01848822726113</v>
      </c>
      <c r="G16" s="79">
        <v>9.1810943899348523</v>
      </c>
      <c r="H16" s="79">
        <v>37.659461214691603</v>
      </c>
      <c r="I16" s="79">
        <v>44.6</v>
      </c>
      <c r="J16" s="10"/>
      <c r="L16" s="11">
        <f t="shared" si="0"/>
        <v>0.37659461214691603</v>
      </c>
      <c r="V16" s="65">
        <v>1.0119929928581054E-2</v>
      </c>
    </row>
    <row r="17" spans="1:22" s="11" customFormat="1">
      <c r="A17" s="23" t="s">
        <v>98</v>
      </c>
      <c r="B17" s="16">
        <v>2056</v>
      </c>
      <c r="C17" s="79">
        <v>1.1579434923575729</v>
      </c>
      <c r="D17" s="86">
        <v>6.2515431737203584E-3</v>
      </c>
      <c r="E17" s="79">
        <v>2.5</v>
      </c>
      <c r="F17" s="16" t="s">
        <v>179</v>
      </c>
      <c r="G17" s="79" t="s">
        <v>179</v>
      </c>
      <c r="H17" s="79">
        <v>46.317739694302901</v>
      </c>
      <c r="I17" s="79">
        <v>47.3</v>
      </c>
      <c r="J17" s="10"/>
      <c r="L17" s="11">
        <f t="shared" si="0"/>
        <v>0.46317739694302901</v>
      </c>
      <c r="V17" s="65">
        <v>8.5687818434460397E-3</v>
      </c>
    </row>
    <row r="18" spans="1:22" s="11" customFormat="1">
      <c r="A18" s="23" t="s">
        <v>99</v>
      </c>
      <c r="B18" s="16">
        <v>3073</v>
      </c>
      <c r="C18" s="79">
        <v>10.357773851590107</v>
      </c>
      <c r="D18" s="86">
        <v>3.7413371217914146E-2</v>
      </c>
      <c r="E18" s="79">
        <v>15.499377381087719</v>
      </c>
      <c r="F18" s="16">
        <v>40.835735492577598</v>
      </c>
      <c r="G18" s="79">
        <v>16.364840989399294</v>
      </c>
      <c r="H18" s="79">
        <v>66.827031802120104</v>
      </c>
      <c r="I18" s="79">
        <v>69.899999999999991</v>
      </c>
      <c r="J18" s="10"/>
      <c r="L18" s="11">
        <f t="shared" si="0"/>
        <v>0.66827031802120107</v>
      </c>
      <c r="V18" s="65">
        <v>1.8992932862190812E-2</v>
      </c>
    </row>
    <row r="19" spans="1:22" s="11" customFormat="1">
      <c r="A19" s="23" t="s">
        <v>100</v>
      </c>
      <c r="B19" s="16">
        <v>1387</v>
      </c>
      <c r="C19" s="79">
        <v>1.3665174806974929</v>
      </c>
      <c r="D19" s="86">
        <v>1.0936080775589165E-2</v>
      </c>
      <c r="E19" s="79">
        <v>2.854766856327823</v>
      </c>
      <c r="F19" s="16">
        <v>47.537994313776167</v>
      </c>
      <c r="G19" s="79">
        <v>10.069402272924439</v>
      </c>
      <c r="H19" s="79">
        <v>47.8679187993407</v>
      </c>
      <c r="I19" s="79">
        <v>59.9</v>
      </c>
      <c r="J19" s="10"/>
      <c r="L19" s="11">
        <f t="shared" si="0"/>
        <v>0.47867918799340697</v>
      </c>
      <c r="V19" s="65">
        <v>1.0969695487535501E-2</v>
      </c>
    </row>
    <row r="20" spans="1:22" s="11" customFormat="1">
      <c r="A20" s="23" t="s">
        <v>101</v>
      </c>
      <c r="B20" s="16">
        <v>1602</v>
      </c>
      <c r="C20" s="79">
        <v>4.6376240557323332</v>
      </c>
      <c r="D20" s="86">
        <v>3.2133350198894441E-2</v>
      </c>
      <c r="E20" s="79">
        <v>12.814701211436697</v>
      </c>
      <c r="F20" s="16">
        <v>26.114837550531515</v>
      </c>
      <c r="G20" s="79">
        <v>13.857973511538697</v>
      </c>
      <c r="H20" s="79">
        <v>36.1898727033402</v>
      </c>
      <c r="I20" s="79">
        <v>21</v>
      </c>
      <c r="J20" s="10"/>
      <c r="L20" s="11">
        <f t="shared" si="0"/>
        <v>0.36189872703340198</v>
      </c>
      <c r="V20" s="65">
        <v>8.0414055646969105E-3</v>
      </c>
    </row>
    <row r="21" spans="1:22" s="11" customFormat="1">
      <c r="A21" s="23" t="s">
        <v>102</v>
      </c>
      <c r="B21" s="16">
        <v>1732</v>
      </c>
      <c r="C21" s="79">
        <v>1.1102126636387923</v>
      </c>
      <c r="D21" s="86">
        <v>7.115104253112352E-3</v>
      </c>
      <c r="E21" s="79">
        <v>5.494837754211515</v>
      </c>
      <c r="F21" s="16" t="s">
        <v>179</v>
      </c>
      <c r="G21" s="79" t="s">
        <v>179</v>
      </c>
      <c r="H21" s="79">
        <v>20.204648677531399</v>
      </c>
      <c r="I21" s="79">
        <v>18.600000000000001</v>
      </c>
      <c r="J21" s="10"/>
      <c r="L21" s="11">
        <f t="shared" si="0"/>
        <v>0.20204648677531398</v>
      </c>
      <c r="V21" s="65">
        <v>1.4042553191489362E-2</v>
      </c>
    </row>
    <row r="22" spans="1:22" s="11" customFormat="1">
      <c r="A22" s="23" t="s">
        <v>103</v>
      </c>
      <c r="B22" s="16">
        <v>2988</v>
      </c>
      <c r="C22" s="79">
        <v>3.3184593837535012</v>
      </c>
      <c r="D22" s="86">
        <v>1.2327610160530073E-2</v>
      </c>
      <c r="E22" s="79">
        <v>11.915054109506377</v>
      </c>
      <c r="F22" s="16">
        <v>43.994690265486724</v>
      </c>
      <c r="G22" s="79">
        <v>6.3305322128851538</v>
      </c>
      <c r="H22" s="79">
        <v>27.850980392156899</v>
      </c>
      <c r="I22" s="79">
        <v>43.1</v>
      </c>
      <c r="J22" s="10"/>
      <c r="L22" s="11">
        <f t="shared" si="0"/>
        <v>0.27850980392156899</v>
      </c>
      <c r="V22" s="65">
        <v>6.5261829652996841E-3</v>
      </c>
    </row>
    <row r="23" spans="1:22" s="11" customFormat="1">
      <c r="A23" s="23" t="s">
        <v>104</v>
      </c>
      <c r="B23" s="16">
        <v>3310</v>
      </c>
      <c r="C23" s="79">
        <v>1.3346</v>
      </c>
      <c r="D23" s="86">
        <v>4.4755468277945616E-3</v>
      </c>
      <c r="E23" s="79">
        <v>4.4075857075717355</v>
      </c>
      <c r="F23" s="16">
        <v>39.942668696093357</v>
      </c>
      <c r="G23" s="79">
        <v>7.5807692307692305</v>
      </c>
      <c r="H23" s="79">
        <v>30.279615384615401</v>
      </c>
      <c r="I23" s="79">
        <v>29.2</v>
      </c>
      <c r="J23" s="10"/>
      <c r="L23" s="11">
        <f t="shared" si="0"/>
        <v>0.30279615384615399</v>
      </c>
      <c r="V23" s="65">
        <v>7.0694736842105256E-3</v>
      </c>
    </row>
    <row r="24" spans="1:22">
      <c r="A24" s="23" t="s">
        <v>105</v>
      </c>
      <c r="B24" s="24" t="s">
        <v>88</v>
      </c>
      <c r="C24" s="79">
        <v>1.1294591439360375</v>
      </c>
      <c r="D24" s="86" t="s">
        <v>88</v>
      </c>
      <c r="E24" s="79">
        <v>5.4932042833607904</v>
      </c>
      <c r="F24" s="16">
        <v>43.126110124333927</v>
      </c>
      <c r="G24" s="79">
        <v>4.7676513442248485</v>
      </c>
      <c r="H24" s="79">
        <v>20.561025690546899</v>
      </c>
      <c r="I24" s="79" t="s">
        <v>183</v>
      </c>
      <c r="J24" s="10"/>
      <c r="L24" s="11">
        <f t="shared" si="0"/>
        <v>0.205610256905469</v>
      </c>
      <c r="V24" s="65">
        <v>3.1535420098846791E-3</v>
      </c>
    </row>
    <row r="25" spans="1:22">
      <c r="A25" s="22" t="s">
        <v>106</v>
      </c>
      <c r="B25" s="16">
        <v>1032</v>
      </c>
      <c r="C25" s="79">
        <v>0.56328124999999996</v>
      </c>
      <c r="D25" s="86">
        <v>6.0585483284883706E-3</v>
      </c>
      <c r="E25" s="79">
        <v>2.3107344994904206</v>
      </c>
      <c r="F25" s="16">
        <v>49.370569620253164</v>
      </c>
      <c r="G25" s="79">
        <v>4.9375</v>
      </c>
      <c r="H25" s="79">
        <v>24.376718749999998</v>
      </c>
      <c r="I25" s="79">
        <v>15.299999999999999</v>
      </c>
      <c r="J25" s="10"/>
      <c r="L25" s="11">
        <f t="shared" si="0"/>
        <v>0.24376718749999998</v>
      </c>
      <c r="V25" s="65">
        <v>3.0990122491362788E-3</v>
      </c>
    </row>
    <row r="26" spans="1:22">
      <c r="A26" s="22" t="s">
        <v>107</v>
      </c>
      <c r="B26" s="16">
        <v>608</v>
      </c>
      <c r="C26" s="79">
        <v>1.0420648148148148</v>
      </c>
      <c r="D26" s="86">
        <v>1.9024538559941521E-2</v>
      </c>
      <c r="E26" s="79">
        <v>2.5329837275775922</v>
      </c>
      <c r="F26" s="16" t="s">
        <v>88</v>
      </c>
      <c r="G26" s="16" t="s">
        <v>88</v>
      </c>
      <c r="H26" s="79">
        <v>41.139814814814798</v>
      </c>
      <c r="I26" s="79">
        <v>44.9</v>
      </c>
      <c r="J26" s="10"/>
      <c r="L26" s="11">
        <f t="shared" si="0"/>
        <v>0.41139814814814796</v>
      </c>
    </row>
    <row r="27" spans="1:22">
      <c r="A27" s="25" t="s">
        <v>108</v>
      </c>
      <c r="B27" s="26">
        <v>1234</v>
      </c>
      <c r="C27" s="79">
        <v>0.46852480902727411</v>
      </c>
      <c r="D27" s="88">
        <v>4.2144452027574894E-3</v>
      </c>
      <c r="E27" s="79">
        <v>1.4644594994688169</v>
      </c>
      <c r="F27" s="26" t="s">
        <v>88</v>
      </c>
      <c r="G27" s="26" t="s">
        <v>88</v>
      </c>
      <c r="H27" s="84">
        <v>31.9930192127004</v>
      </c>
      <c r="I27" s="84">
        <v>30.2</v>
      </c>
      <c r="J27" s="10"/>
      <c r="L27" s="11">
        <f t="shared" si="0"/>
        <v>0.31993019212700402</v>
      </c>
    </row>
    <row r="28" spans="1:22">
      <c r="A28" s="90" t="s">
        <v>188</v>
      </c>
      <c r="B28" s="90"/>
      <c r="C28" s="90"/>
      <c r="D28" s="90"/>
      <c r="E28" s="90"/>
      <c r="F28" s="90"/>
      <c r="G28" s="90"/>
      <c r="H28" s="90"/>
      <c r="I28" s="90"/>
    </row>
    <row r="29" spans="1:22">
      <c r="A29" s="91"/>
      <c r="B29" s="91"/>
      <c r="C29" s="91"/>
      <c r="D29" s="91"/>
      <c r="E29" s="91"/>
      <c r="F29" s="91"/>
      <c r="G29" s="91"/>
      <c r="H29" s="91"/>
      <c r="I29" s="91"/>
    </row>
    <row r="30" spans="1:22">
      <c r="A30" s="91"/>
      <c r="B30" s="91"/>
      <c r="C30" s="91"/>
      <c r="D30" s="91"/>
      <c r="E30" s="91"/>
      <c r="F30" s="91"/>
      <c r="G30" s="91"/>
      <c r="H30" s="91"/>
      <c r="I30" s="91"/>
    </row>
    <row r="31" spans="1:22">
      <c r="A31" s="92"/>
      <c r="B31" s="92"/>
      <c r="C31" s="92"/>
      <c r="D31" s="92"/>
      <c r="E31" s="92"/>
      <c r="F31" s="92"/>
      <c r="G31" s="92"/>
      <c r="H31" s="92"/>
      <c r="I31" s="92"/>
    </row>
    <row r="32" spans="1:22" ht="20.100000000000001" customHeight="1">
      <c r="A32" s="92"/>
      <c r="B32" s="92"/>
      <c r="C32" s="92"/>
      <c r="D32" s="92"/>
      <c r="E32" s="92"/>
      <c r="F32" s="92"/>
      <c r="G32" s="92"/>
      <c r="H32" s="92"/>
      <c r="I32" s="92"/>
    </row>
    <row r="33" spans="1:9" ht="3.95" customHeight="1">
      <c r="A33" s="92"/>
      <c r="B33" s="92"/>
      <c r="C33" s="92"/>
      <c r="D33" s="92"/>
      <c r="E33" s="92"/>
      <c r="F33" s="92"/>
      <c r="G33" s="92"/>
      <c r="H33" s="92"/>
      <c r="I33" s="92"/>
    </row>
    <row r="36" spans="1:9">
      <c r="A36" s="22"/>
    </row>
    <row r="37" spans="1:9">
      <c r="A37" s="23" t="s">
        <v>255</v>
      </c>
    </row>
    <row r="38" spans="1:9">
      <c r="A38" s="121" t="s">
        <v>256</v>
      </c>
    </row>
    <row r="39" spans="1:9">
      <c r="A39" s="23"/>
    </row>
    <row r="40" spans="1:9">
      <c r="A40" s="23"/>
    </row>
    <row r="41" spans="1:9">
      <c r="A41" s="23"/>
    </row>
    <row r="42" spans="1:9">
      <c r="A42" s="22"/>
    </row>
    <row r="43" spans="1:9">
      <c r="A43" s="23"/>
    </row>
    <row r="44" spans="1:9">
      <c r="A44" s="23"/>
    </row>
    <row r="45" spans="1:9">
      <c r="A45" s="23"/>
    </row>
    <row r="46" spans="1:9">
      <c r="A46" s="23"/>
    </row>
    <row r="47" spans="1:9">
      <c r="A47" s="23"/>
    </row>
    <row r="48" spans="1:9">
      <c r="A48" s="23"/>
    </row>
    <row r="49" spans="1:1">
      <c r="A49" s="23"/>
    </row>
    <row r="50" spans="1:1">
      <c r="A50" s="23"/>
    </row>
    <row r="51" spans="1:1">
      <c r="A51" s="23"/>
    </row>
    <row r="52" spans="1:1">
      <c r="A52" s="22"/>
    </row>
    <row r="53" spans="1:1">
      <c r="A53" s="22"/>
    </row>
    <row r="54" spans="1:1">
      <c r="A54" s="25"/>
    </row>
  </sheetData>
  <sortState ref="A74:A98">
    <sortCondition ref="A74:A98"/>
  </sortState>
  <mergeCells count="1">
    <mergeCell ref="A28:I33"/>
  </mergeCells>
  <phoneticPr fontId="5" type="noConversion"/>
  <hyperlinks>
    <hyperlink ref="A38" location="'COMPARATIVE Data_Working Table'!A1" display="'COMPARATIVE Data_Working Table'!A1"/>
  </hyperlinks>
  <pageMargins left="0.7" right="0.7" top="0.75" bottom="0.75" header="0.3" footer="0.3"/>
  <pageSetup scale="89" orientation="landscape" horizontalDpi="4294967292" verticalDpi="4294967292"/>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H34"/>
  <sheetViews>
    <sheetView zoomScale="90" zoomScaleNormal="90" zoomScalePageLayoutView="145" workbookViewId="0">
      <selection activeCell="A4" sqref="A4:H27"/>
    </sheetView>
  </sheetViews>
  <sheetFormatPr defaultColWidth="7.625" defaultRowHeight="14.25"/>
  <cols>
    <col min="1" max="1" width="15.625" style="28" customWidth="1"/>
    <col min="2" max="2" width="6.75" style="28" customWidth="1"/>
    <col min="3" max="3" width="19.875" style="28" bestFit="1" customWidth="1"/>
    <col min="4" max="4" width="6.75" style="28" customWidth="1"/>
    <col min="5" max="5" width="20.625" style="28" bestFit="1" customWidth="1"/>
    <col min="6" max="6" width="6.75" style="30" customWidth="1"/>
    <col min="7" max="7" width="12.625" style="28" bestFit="1" customWidth="1"/>
    <col min="8" max="8" width="8.25" style="28" customWidth="1"/>
    <col min="9" max="16384" width="7.625" style="28"/>
  </cols>
  <sheetData>
    <row r="2" spans="1:8">
      <c r="A2" s="27" t="s">
        <v>64</v>
      </c>
      <c r="D2" s="29"/>
    </row>
    <row r="3" spans="1:8" ht="15" thickBot="1">
      <c r="A3" s="31" t="s">
        <v>109</v>
      </c>
      <c r="B3" s="31" t="s">
        <v>110</v>
      </c>
      <c r="C3" s="31" t="s">
        <v>111</v>
      </c>
      <c r="D3" s="31" t="s">
        <v>112</v>
      </c>
      <c r="E3" s="31" t="s">
        <v>65</v>
      </c>
      <c r="F3" s="32" t="s">
        <v>113</v>
      </c>
      <c r="G3" s="31" t="s">
        <v>114</v>
      </c>
      <c r="H3" s="31">
        <v>1912</v>
      </c>
    </row>
    <row r="4" spans="1:8" ht="15" thickTop="1">
      <c r="A4" s="33" t="s">
        <v>115</v>
      </c>
      <c r="B4" s="30">
        <v>7.0414804915074773</v>
      </c>
      <c r="C4" s="28" t="s">
        <v>116</v>
      </c>
      <c r="D4" s="30">
        <v>20.399999999999999</v>
      </c>
      <c r="E4" s="34" t="s">
        <v>66</v>
      </c>
      <c r="F4" s="30">
        <v>8.3074156778834993</v>
      </c>
      <c r="G4" s="28" t="s">
        <v>117</v>
      </c>
      <c r="H4" s="30">
        <v>6.5114751549237875</v>
      </c>
    </row>
    <row r="5" spans="1:8">
      <c r="A5" s="33" t="s">
        <v>118</v>
      </c>
      <c r="B5" s="30">
        <v>8.5204059536011769</v>
      </c>
      <c r="C5" s="28" t="s">
        <v>119</v>
      </c>
      <c r="D5" s="30">
        <v>16.8</v>
      </c>
      <c r="E5" s="34" t="s">
        <v>67</v>
      </c>
      <c r="F5" s="30">
        <v>12.162166865595355</v>
      </c>
      <c r="G5" s="28" t="s">
        <v>120</v>
      </c>
      <c r="H5" s="30">
        <v>7.0756636323735176</v>
      </c>
    </row>
    <row r="6" spans="1:8">
      <c r="A6" s="33" t="s">
        <v>121</v>
      </c>
      <c r="B6" s="30">
        <v>7.8911939181421777</v>
      </c>
      <c r="C6" s="28" t="s">
        <v>122</v>
      </c>
      <c r="D6" s="30">
        <v>23.599999999999998</v>
      </c>
      <c r="E6" s="34" t="s">
        <v>68</v>
      </c>
      <c r="F6" s="30">
        <v>6.1076916570072592</v>
      </c>
      <c r="G6" s="28" t="s">
        <v>123</v>
      </c>
      <c r="H6" s="30">
        <v>3.0621294190404633</v>
      </c>
    </row>
    <row r="7" spans="1:8">
      <c r="A7" s="33" t="s">
        <v>124</v>
      </c>
      <c r="B7" s="30">
        <v>7.3103387824867427</v>
      </c>
      <c r="C7" s="28" t="s">
        <v>125</v>
      </c>
      <c r="D7" s="30">
        <v>19.7</v>
      </c>
      <c r="E7" s="34" t="s">
        <v>69</v>
      </c>
      <c r="F7" s="30">
        <v>7.2966285001531688</v>
      </c>
      <c r="G7" s="28" t="s">
        <v>126</v>
      </c>
      <c r="H7" s="30">
        <v>3.397075723570405</v>
      </c>
    </row>
    <row r="8" spans="1:8">
      <c r="A8" s="28" t="s">
        <v>127</v>
      </c>
      <c r="B8" s="30">
        <v>32.74600992860524</v>
      </c>
      <c r="C8" s="28" t="s">
        <v>128</v>
      </c>
      <c r="D8" s="30">
        <v>18.8</v>
      </c>
      <c r="E8" s="34" t="s">
        <v>70</v>
      </c>
      <c r="F8" s="30">
        <v>13.128657644476958</v>
      </c>
      <c r="G8" s="28" t="s">
        <v>129</v>
      </c>
      <c r="H8" s="30">
        <v>5.8324400851143183</v>
      </c>
    </row>
    <row r="9" spans="1:8">
      <c r="A9" s="33" t="s">
        <v>130</v>
      </c>
      <c r="B9" s="30">
        <v>10.849035760052571</v>
      </c>
      <c r="C9" s="28" t="s">
        <v>131</v>
      </c>
      <c r="D9" s="30">
        <v>18.099999999999998</v>
      </c>
      <c r="E9" s="34" t="s">
        <v>71</v>
      </c>
      <c r="F9" s="30">
        <v>8.9286392248731055</v>
      </c>
      <c r="G9" s="28" t="s">
        <v>132</v>
      </c>
      <c r="H9" s="30">
        <v>5.3025398957874277</v>
      </c>
    </row>
    <row r="10" spans="1:8">
      <c r="A10" s="33" t="s">
        <v>133</v>
      </c>
      <c r="B10" s="30">
        <v>7.8317639064168523</v>
      </c>
      <c r="C10" s="28" t="s">
        <v>134</v>
      </c>
      <c r="D10" s="30">
        <v>15.299999999999999</v>
      </c>
      <c r="E10" s="34" t="s">
        <v>72</v>
      </c>
      <c r="F10" s="30">
        <v>10.024064909425977</v>
      </c>
      <c r="G10" s="28" t="s">
        <v>135</v>
      </c>
      <c r="H10" s="30">
        <v>4.085530847428184</v>
      </c>
    </row>
    <row r="11" spans="1:8">
      <c r="A11" s="33" t="s">
        <v>136</v>
      </c>
      <c r="B11" s="30">
        <v>8.5919698830631734</v>
      </c>
      <c r="C11" s="28" t="s">
        <v>137</v>
      </c>
      <c r="D11" s="30">
        <v>19.3</v>
      </c>
      <c r="E11" s="34" t="s">
        <v>73</v>
      </c>
      <c r="F11" s="30">
        <v>2.7441843769176728</v>
      </c>
      <c r="G11" s="28" t="s">
        <v>138</v>
      </c>
      <c r="H11" s="30">
        <v>2.4648741791330195</v>
      </c>
    </row>
    <row r="12" spans="1:8">
      <c r="A12" s="33" t="s">
        <v>139</v>
      </c>
      <c r="B12" s="30">
        <v>11.510331860579011</v>
      </c>
      <c r="C12" s="28" t="s">
        <v>140</v>
      </c>
      <c r="D12" s="30">
        <v>16.100000000000001</v>
      </c>
      <c r="E12" s="34" t="s">
        <v>74</v>
      </c>
      <c r="F12" s="30">
        <v>4.1778313611931504</v>
      </c>
      <c r="G12" s="28" t="s">
        <v>141</v>
      </c>
      <c r="H12" s="30">
        <v>11.035394609686962</v>
      </c>
    </row>
    <row r="13" spans="1:8">
      <c r="A13" s="33" t="s">
        <v>142</v>
      </c>
      <c r="B13" s="30">
        <v>15.13668987392812</v>
      </c>
      <c r="C13" s="28" t="s">
        <v>143</v>
      </c>
      <c r="D13" s="30">
        <v>33.5</v>
      </c>
      <c r="E13" s="34" t="s">
        <v>75</v>
      </c>
      <c r="F13" s="30">
        <v>4.406822642620897</v>
      </c>
      <c r="G13" s="28" t="s">
        <v>144</v>
      </c>
      <c r="H13" s="30">
        <v>3.1164752298123362</v>
      </c>
    </row>
    <row r="14" spans="1:8">
      <c r="A14" s="33" t="s">
        <v>145</v>
      </c>
      <c r="B14" s="30">
        <v>16.599842130300004</v>
      </c>
      <c r="C14" s="28" t="s">
        <v>146</v>
      </c>
      <c r="D14" s="30">
        <v>30.4</v>
      </c>
      <c r="F14" s="29"/>
      <c r="G14" s="28" t="s">
        <v>147</v>
      </c>
      <c r="H14" s="30">
        <v>4.3167970047315771</v>
      </c>
    </row>
    <row r="15" spans="1:8">
      <c r="A15" s="33" t="s">
        <v>148</v>
      </c>
      <c r="B15" s="30">
        <v>6.3060513354986432</v>
      </c>
      <c r="D15" s="30"/>
      <c r="G15" s="28" t="s">
        <v>149</v>
      </c>
      <c r="H15" s="30">
        <v>5.629809647767094</v>
      </c>
    </row>
    <row r="16" spans="1:8">
      <c r="A16" s="33" t="s">
        <v>150</v>
      </c>
      <c r="B16" s="30">
        <v>8.1419931828970249</v>
      </c>
      <c r="D16" s="30"/>
      <c r="F16" s="29"/>
      <c r="G16" s="28" t="s">
        <v>151</v>
      </c>
      <c r="H16" s="30">
        <v>5.5206279199157215</v>
      </c>
    </row>
    <row r="17" spans="1:8">
      <c r="A17" s="33" t="s">
        <v>152</v>
      </c>
      <c r="B17" s="30">
        <v>7.0678495402137385</v>
      </c>
      <c r="D17" s="30"/>
      <c r="F17" s="29"/>
      <c r="G17" s="28" t="s">
        <v>153</v>
      </c>
      <c r="H17" s="30">
        <v>9.9949830826426815</v>
      </c>
    </row>
    <row r="18" spans="1:8">
      <c r="A18" s="33" t="s">
        <v>154</v>
      </c>
      <c r="B18" s="30">
        <v>13.288783517643413</v>
      </c>
      <c r="D18" s="30"/>
      <c r="F18" s="29"/>
      <c r="G18" s="28" t="s">
        <v>155</v>
      </c>
      <c r="H18" s="30">
        <v>3.1310600016290855</v>
      </c>
    </row>
    <row r="19" spans="1:8">
      <c r="A19" s="33" t="s">
        <v>156</v>
      </c>
      <c r="B19" s="30">
        <v>9.6535787841478307</v>
      </c>
      <c r="D19" s="30"/>
      <c r="F19" s="29"/>
      <c r="G19" s="28" t="s">
        <v>157</v>
      </c>
      <c r="H19" s="30">
        <v>7.4654564753935606</v>
      </c>
    </row>
    <row r="20" spans="1:8">
      <c r="A20" s="33" t="s">
        <v>158</v>
      </c>
      <c r="B20" s="30">
        <v>9.3817920036049998</v>
      </c>
      <c r="D20" s="30"/>
      <c r="F20" s="29"/>
      <c r="G20" s="28" t="s">
        <v>159</v>
      </c>
      <c r="H20" s="30">
        <v>6.5605665152991488</v>
      </c>
    </row>
    <row r="21" spans="1:8">
      <c r="A21" s="33" t="s">
        <v>160</v>
      </c>
      <c r="B21" s="30">
        <v>21.329946889546395</v>
      </c>
      <c r="D21" s="30"/>
      <c r="F21" s="29"/>
      <c r="G21" s="28" t="s">
        <v>161</v>
      </c>
      <c r="H21" s="30">
        <v>3.7789003180040845</v>
      </c>
    </row>
    <row r="22" spans="1:8">
      <c r="A22" s="33" t="s">
        <v>162</v>
      </c>
      <c r="B22" s="30">
        <v>20.043115733130993</v>
      </c>
      <c r="D22" s="30"/>
      <c r="F22" s="29"/>
      <c r="G22" s="28" t="s">
        <v>163</v>
      </c>
      <c r="H22" s="30">
        <v>0.53587666162123127</v>
      </c>
    </row>
    <row r="23" spans="1:8">
      <c r="A23" s="33" t="s">
        <v>164</v>
      </c>
      <c r="B23" s="30">
        <v>10.560567931519705</v>
      </c>
      <c r="D23" s="30"/>
      <c r="F23" s="29"/>
      <c r="G23" s="28" t="s">
        <v>165</v>
      </c>
      <c r="H23" s="30">
        <v>7.1441654302465043</v>
      </c>
    </row>
    <row r="24" spans="1:8">
      <c r="A24" s="33" t="s">
        <v>166</v>
      </c>
      <c r="B24" s="30">
        <v>13.82737590697066</v>
      </c>
      <c r="D24" s="56"/>
      <c r="E24" s="34"/>
      <c r="F24" s="52"/>
      <c r="G24" s="34" t="s">
        <v>167</v>
      </c>
      <c r="H24" s="56">
        <v>2.4730319355459285</v>
      </c>
    </row>
    <row r="25" spans="1:8">
      <c r="B25" s="35"/>
      <c r="D25" s="57"/>
      <c r="E25" s="58"/>
      <c r="F25" s="59"/>
      <c r="G25" s="58" t="s">
        <v>168</v>
      </c>
      <c r="H25" s="57">
        <v>4.6762846090590555</v>
      </c>
    </row>
    <row r="26" spans="1:8">
      <c r="A26" s="36" t="s">
        <v>169</v>
      </c>
      <c r="B26" s="37">
        <v>11.9</v>
      </c>
      <c r="C26" s="36" t="s">
        <v>170</v>
      </c>
      <c r="D26" s="62">
        <v>19.504377314931901</v>
      </c>
      <c r="E26" s="55" t="s">
        <v>171</v>
      </c>
      <c r="F26" s="62">
        <v>7.7954304473246046</v>
      </c>
      <c r="G26" s="55" t="s">
        <v>87</v>
      </c>
      <c r="H26" s="62">
        <v>4.01</v>
      </c>
    </row>
    <row r="27" spans="1:8" s="40" customFormat="1" ht="17.25" thickBot="1">
      <c r="A27" s="38" t="s">
        <v>172</v>
      </c>
      <c r="B27" s="39">
        <v>0.52698491818741611</v>
      </c>
      <c r="C27" s="38" t="s">
        <v>172</v>
      </c>
      <c r="D27" s="39">
        <v>0.27793102111320234</v>
      </c>
      <c r="E27" s="38" t="s">
        <v>172</v>
      </c>
      <c r="F27" s="39">
        <v>0.44648700700765936</v>
      </c>
      <c r="G27" s="38" t="s">
        <v>172</v>
      </c>
      <c r="H27" s="39">
        <v>0.48596446934176374</v>
      </c>
    </row>
    <row r="28" spans="1:8" ht="98.1" customHeight="1" thickTop="1">
      <c r="A28" s="93" t="s">
        <v>187</v>
      </c>
      <c r="B28" s="93"/>
      <c r="C28" s="93"/>
      <c r="D28" s="93"/>
      <c r="E28" s="93"/>
      <c r="F28" s="93"/>
      <c r="G28" s="93"/>
      <c r="H28" s="93"/>
    </row>
    <row r="29" spans="1:8">
      <c r="A29" s="41"/>
      <c r="B29" s="42"/>
      <c r="C29" s="42"/>
      <c r="D29" s="42"/>
      <c r="E29" s="42"/>
      <c r="F29" s="43"/>
      <c r="G29" s="42"/>
      <c r="H29" s="42"/>
    </row>
    <row r="30" spans="1:8" s="34" customFormat="1" ht="23.1" customHeight="1">
      <c r="A30" s="44"/>
      <c r="B30" s="44"/>
      <c r="C30" s="44"/>
      <c r="D30" s="44"/>
      <c r="E30" s="44"/>
      <c r="F30" s="44"/>
      <c r="G30" s="44"/>
      <c r="H30" s="44"/>
    </row>
    <row r="31" spans="1:8" ht="24" customHeight="1">
      <c r="A31" s="43"/>
      <c r="B31" s="43"/>
      <c r="C31" s="43"/>
      <c r="D31" s="43"/>
      <c r="E31" s="43"/>
      <c r="F31" s="43"/>
      <c r="G31" s="43"/>
      <c r="H31" s="43"/>
    </row>
    <row r="32" spans="1:8">
      <c r="A32" s="45"/>
      <c r="B32" s="45"/>
      <c r="C32" s="45"/>
      <c r="D32" s="45"/>
      <c r="E32" s="45"/>
      <c r="F32" s="46"/>
    </row>
    <row r="33" spans="1:6">
      <c r="A33" s="47"/>
      <c r="B33" s="47"/>
      <c r="C33" s="47"/>
      <c r="D33" s="47"/>
      <c r="E33" s="47"/>
      <c r="F33" s="48"/>
    </row>
    <row r="34" spans="1:6">
      <c r="A34" s="47"/>
      <c r="B34" s="47"/>
      <c r="C34" s="47"/>
      <c r="D34" s="47"/>
      <c r="E34" s="47"/>
      <c r="F34" s="48"/>
    </row>
  </sheetData>
  <mergeCells count="1">
    <mergeCell ref="A28:H28"/>
  </mergeCells>
  <phoneticPr fontId="5"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H41"/>
  <sheetViews>
    <sheetView zoomScale="90" zoomScaleNormal="90" zoomScalePageLayoutView="145" workbookViewId="0">
      <selection activeCell="A4" sqref="A4:H27"/>
    </sheetView>
  </sheetViews>
  <sheetFormatPr defaultColWidth="7.625" defaultRowHeight="16.5"/>
  <cols>
    <col min="1" max="1" width="15.625" style="40" customWidth="1"/>
    <col min="2" max="2" width="6.75" style="40" customWidth="1"/>
    <col min="3" max="3" width="19.875" style="40" bestFit="1" customWidth="1"/>
    <col min="4" max="4" width="6.75" style="54" customWidth="1"/>
    <col min="5" max="5" width="21.625" style="40" bestFit="1" customWidth="1"/>
    <col min="6" max="6" width="6.625" style="54" customWidth="1"/>
    <col min="7" max="7" width="13.75" style="40" bestFit="1" customWidth="1"/>
    <col min="8" max="8" width="6.75" style="40" customWidth="1"/>
    <col min="9" max="16384" width="7.625" style="40"/>
  </cols>
  <sheetData>
    <row r="2" spans="1:8">
      <c r="A2" s="27" t="s">
        <v>173</v>
      </c>
      <c r="B2" s="28"/>
      <c r="C2" s="28"/>
      <c r="D2" s="29"/>
      <c r="E2" s="28"/>
      <c r="F2" s="29"/>
      <c r="G2" s="28"/>
      <c r="H2" s="28"/>
    </row>
    <row r="3" spans="1:8" ht="36.75" customHeight="1" thickBot="1">
      <c r="A3" s="31" t="s">
        <v>84</v>
      </c>
      <c r="B3" s="31" t="s">
        <v>110</v>
      </c>
      <c r="C3" s="31" t="s">
        <v>174</v>
      </c>
      <c r="D3" s="31" t="s">
        <v>112</v>
      </c>
      <c r="E3" s="31" t="s">
        <v>171</v>
      </c>
      <c r="F3" s="31" t="s">
        <v>113</v>
      </c>
      <c r="G3" s="31" t="s">
        <v>87</v>
      </c>
      <c r="H3" s="31">
        <v>1912</v>
      </c>
    </row>
    <row r="4" spans="1:8" ht="17.25" thickTop="1">
      <c r="A4" s="49" t="s">
        <v>115</v>
      </c>
      <c r="B4" s="76">
        <v>0.41809550303807796</v>
      </c>
      <c r="C4" s="34" t="s">
        <v>116</v>
      </c>
      <c r="D4" s="50">
        <v>3.1970000000000001</v>
      </c>
      <c r="E4" s="34" t="s">
        <v>66</v>
      </c>
      <c r="F4" s="50">
        <v>7.0640936529866874E-2</v>
      </c>
      <c r="G4" s="34" t="s">
        <v>117</v>
      </c>
      <c r="H4" s="50">
        <v>0.56888586501435356</v>
      </c>
    </row>
    <row r="5" spans="1:8">
      <c r="A5" s="49" t="s">
        <v>118</v>
      </c>
      <c r="B5" s="76">
        <v>1.7048497950929149</v>
      </c>
      <c r="C5" s="34" t="s">
        <v>119</v>
      </c>
      <c r="D5" s="50">
        <v>2.4</v>
      </c>
      <c r="E5" s="34" t="s">
        <v>67</v>
      </c>
      <c r="F5" s="50">
        <v>0.28127243091843573</v>
      </c>
      <c r="G5" s="34" t="s">
        <v>120</v>
      </c>
      <c r="H5" s="50">
        <v>0.52407307669445957</v>
      </c>
    </row>
    <row r="6" spans="1:8">
      <c r="A6" s="49" t="s">
        <v>121</v>
      </c>
      <c r="B6" s="76">
        <v>0.21331060607836141</v>
      </c>
      <c r="C6" s="34" t="s">
        <v>122</v>
      </c>
      <c r="D6" s="50">
        <v>3.2160000000000002</v>
      </c>
      <c r="E6" s="34" t="s">
        <v>68</v>
      </c>
      <c r="F6" s="50">
        <v>7.3762084277334244E-2</v>
      </c>
      <c r="G6" s="34" t="s">
        <v>123</v>
      </c>
      <c r="H6" s="50">
        <v>0.29061269807308976</v>
      </c>
    </row>
    <row r="7" spans="1:8">
      <c r="A7" s="49" t="s">
        <v>124</v>
      </c>
      <c r="B7" s="76">
        <v>0.64184266497541254</v>
      </c>
      <c r="C7" s="34" t="s">
        <v>125</v>
      </c>
      <c r="D7" s="50">
        <v>2.2719999999999998</v>
      </c>
      <c r="E7" s="34" t="s">
        <v>69</v>
      </c>
      <c r="F7" s="50">
        <v>0.10105569659383781</v>
      </c>
      <c r="G7" s="34" t="s">
        <v>126</v>
      </c>
      <c r="H7" s="50">
        <v>0.26794486413711704</v>
      </c>
    </row>
    <row r="8" spans="1:8">
      <c r="A8" s="28" t="s">
        <v>175</v>
      </c>
      <c r="B8" s="73" t="s">
        <v>189</v>
      </c>
      <c r="C8" s="34" t="s">
        <v>128</v>
      </c>
      <c r="D8" s="50">
        <v>2.3159999999999998</v>
      </c>
      <c r="E8" s="34" t="s">
        <v>70</v>
      </c>
      <c r="F8" s="50">
        <v>0.21809566141504175</v>
      </c>
      <c r="G8" s="34" t="s">
        <v>129</v>
      </c>
      <c r="H8" s="50">
        <v>0.22059536056794976</v>
      </c>
    </row>
    <row r="9" spans="1:8">
      <c r="A9" s="49" t="s">
        <v>130</v>
      </c>
      <c r="B9" s="76">
        <v>1.1764350589040034</v>
      </c>
      <c r="C9" s="34" t="s">
        <v>131</v>
      </c>
      <c r="D9" s="50">
        <v>2.242</v>
      </c>
      <c r="E9" s="34" t="s">
        <v>71</v>
      </c>
      <c r="F9" s="50">
        <v>7.0212512552043901E-2</v>
      </c>
      <c r="G9" s="34" t="s">
        <v>132</v>
      </c>
      <c r="H9" s="50">
        <v>0.31802151435961828</v>
      </c>
    </row>
    <row r="10" spans="1:8">
      <c r="A10" s="49" t="s">
        <v>133</v>
      </c>
      <c r="B10" s="76">
        <v>9.9749552130466573E-2</v>
      </c>
      <c r="C10" s="34" t="s">
        <v>134</v>
      </c>
      <c r="D10" s="50">
        <v>1.589</v>
      </c>
      <c r="E10" s="34" t="s">
        <v>72</v>
      </c>
      <c r="F10" s="50">
        <v>0.13063990956174173</v>
      </c>
      <c r="G10" s="34" t="s">
        <v>135</v>
      </c>
      <c r="H10" s="50">
        <v>0.16673340640810019</v>
      </c>
    </row>
    <row r="11" spans="1:8">
      <c r="A11" s="49" t="s">
        <v>136</v>
      </c>
      <c r="B11" s="76">
        <v>0.29117502400036566</v>
      </c>
      <c r="C11" s="34" t="s">
        <v>137</v>
      </c>
      <c r="D11" s="50">
        <v>3.2570000000000001</v>
      </c>
      <c r="E11" s="34" t="s">
        <v>73</v>
      </c>
      <c r="F11" s="50">
        <v>3.9052972700333546E-2</v>
      </c>
      <c r="G11" s="34" t="s">
        <v>138</v>
      </c>
      <c r="H11" s="50">
        <v>0.24184021019125337</v>
      </c>
    </row>
    <row r="12" spans="1:8">
      <c r="A12" s="49" t="s">
        <v>139</v>
      </c>
      <c r="B12" s="76">
        <v>1.0782050194030681</v>
      </c>
      <c r="C12" s="34" t="s">
        <v>140</v>
      </c>
      <c r="D12" s="50">
        <v>1.462</v>
      </c>
      <c r="E12" s="34" t="s">
        <v>74</v>
      </c>
      <c r="F12" s="50">
        <v>6.5544720283318189E-2</v>
      </c>
      <c r="G12" s="34" t="s">
        <v>141</v>
      </c>
      <c r="H12" s="50">
        <v>0.45416256749130057</v>
      </c>
    </row>
    <row r="13" spans="1:8">
      <c r="A13" s="49" t="s">
        <v>142</v>
      </c>
      <c r="B13" s="76">
        <v>2.493840531234929</v>
      </c>
      <c r="C13" s="34" t="s">
        <v>143</v>
      </c>
      <c r="D13" s="50">
        <v>5.0199999999999996</v>
      </c>
      <c r="E13" s="34" t="s">
        <v>75</v>
      </c>
      <c r="F13" s="50">
        <v>4.7882622283491695E-2</v>
      </c>
      <c r="G13" s="34" t="s">
        <v>144</v>
      </c>
      <c r="H13" s="50">
        <v>0.19085150463386832</v>
      </c>
    </row>
    <row r="14" spans="1:8">
      <c r="A14" s="49" t="s">
        <v>145</v>
      </c>
      <c r="B14" s="76">
        <v>1.0448935716921446</v>
      </c>
      <c r="C14" s="34" t="s">
        <v>146</v>
      </c>
      <c r="D14" s="50">
        <v>9.6120000000000001</v>
      </c>
      <c r="E14" s="34"/>
      <c r="F14" s="52"/>
      <c r="G14" s="34" t="s">
        <v>147</v>
      </c>
      <c r="H14" s="50">
        <v>0.47960310500649667</v>
      </c>
    </row>
    <row r="15" spans="1:8">
      <c r="A15" s="49" t="s">
        <v>148</v>
      </c>
      <c r="B15" s="76">
        <v>0.53312420147449424</v>
      </c>
      <c r="C15" s="34"/>
      <c r="D15" s="50"/>
      <c r="E15" s="34"/>
      <c r="F15" s="52"/>
      <c r="G15" s="34" t="s">
        <v>149</v>
      </c>
      <c r="H15" s="50">
        <v>0.39678265163397075</v>
      </c>
    </row>
    <row r="16" spans="1:8">
      <c r="A16" s="49" t="s">
        <v>150</v>
      </c>
      <c r="B16" s="76">
        <v>0.55424115247757877</v>
      </c>
      <c r="C16" s="34"/>
      <c r="D16" s="52"/>
      <c r="E16" s="34"/>
      <c r="F16" s="52"/>
      <c r="G16" s="34" t="s">
        <v>151</v>
      </c>
      <c r="H16" s="50">
        <v>0.25934479086908857</v>
      </c>
    </row>
    <row r="17" spans="1:8">
      <c r="A17" s="49" t="s">
        <v>152</v>
      </c>
      <c r="B17" s="76">
        <v>0.19271263445244985</v>
      </c>
      <c r="C17" s="34"/>
      <c r="D17" s="52"/>
      <c r="E17" s="34"/>
      <c r="F17" s="52"/>
      <c r="G17" s="34" t="s">
        <v>153</v>
      </c>
      <c r="H17" s="50">
        <v>0.39462117077214115</v>
      </c>
    </row>
    <row r="18" spans="1:8">
      <c r="A18" s="49" t="s">
        <v>154</v>
      </c>
      <c r="B18" s="76">
        <v>1.8228746451974112</v>
      </c>
      <c r="C18" s="34"/>
      <c r="D18" s="52"/>
      <c r="E18" s="34"/>
      <c r="F18" s="52"/>
      <c r="G18" s="34" t="s">
        <v>155</v>
      </c>
      <c r="H18" s="50">
        <v>0.13497618369941744</v>
      </c>
    </row>
    <row r="19" spans="1:8">
      <c r="A19" s="49" t="s">
        <v>156</v>
      </c>
      <c r="B19" s="76">
        <v>1.2463155712989449</v>
      </c>
      <c r="C19" s="34"/>
      <c r="D19" s="52"/>
      <c r="E19" s="34"/>
      <c r="F19" s="52"/>
      <c r="G19" s="34" t="s">
        <v>157</v>
      </c>
      <c r="H19" s="50">
        <v>0.47413254122409898</v>
      </c>
    </row>
    <row r="20" spans="1:8">
      <c r="A20" s="49" t="s">
        <v>158</v>
      </c>
      <c r="B20" s="76">
        <v>0.58331604296861972</v>
      </c>
      <c r="C20" s="34"/>
      <c r="D20" s="52"/>
      <c r="E20" s="34"/>
      <c r="F20" s="52"/>
      <c r="G20" s="34" t="s">
        <v>159</v>
      </c>
      <c r="H20" s="50">
        <v>0.4813252460645942</v>
      </c>
    </row>
    <row r="21" spans="1:8">
      <c r="A21" s="49" t="s">
        <v>160</v>
      </c>
      <c r="B21" s="76">
        <v>1.6200022603573039</v>
      </c>
      <c r="C21" s="34"/>
      <c r="D21" s="52"/>
      <c r="E21" s="34"/>
      <c r="F21" s="52"/>
      <c r="G21" s="34" t="s">
        <v>161</v>
      </c>
      <c r="H21" s="50">
        <v>9.5904948037273577E-2</v>
      </c>
    </row>
    <row r="22" spans="1:8">
      <c r="A22" s="49" t="s">
        <v>162</v>
      </c>
      <c r="B22" s="76">
        <v>0.93091275584874955</v>
      </c>
      <c r="C22" s="34"/>
      <c r="D22" s="52"/>
      <c r="E22" s="34"/>
      <c r="F22" s="52"/>
      <c r="G22" s="34" t="s">
        <v>163</v>
      </c>
      <c r="H22" s="50">
        <v>0.15407494847534747</v>
      </c>
    </row>
    <row r="23" spans="1:8">
      <c r="A23" s="49" t="s">
        <v>164</v>
      </c>
      <c r="B23" s="76">
        <v>1.0545994549174558</v>
      </c>
      <c r="C23" s="34"/>
      <c r="D23" s="52"/>
      <c r="E23" s="34"/>
      <c r="F23" s="52"/>
      <c r="G23" s="34" t="s">
        <v>165</v>
      </c>
      <c r="H23" s="50">
        <v>1.1208053770088211</v>
      </c>
    </row>
    <row r="24" spans="1:8">
      <c r="A24" s="49" t="s">
        <v>166</v>
      </c>
      <c r="B24" s="76">
        <v>4.315051827249599</v>
      </c>
      <c r="C24" s="34"/>
      <c r="D24" s="50"/>
      <c r="E24" s="34"/>
      <c r="F24" s="52"/>
      <c r="G24" s="34" t="s">
        <v>167</v>
      </c>
      <c r="H24" s="50">
        <v>0.48558011882279895</v>
      </c>
    </row>
    <row r="25" spans="1:8">
      <c r="A25" s="34"/>
      <c r="B25" s="34"/>
      <c r="C25" s="34"/>
      <c r="D25" s="52"/>
      <c r="E25" s="34"/>
      <c r="F25" s="50"/>
      <c r="G25" s="34" t="s">
        <v>168</v>
      </c>
      <c r="H25" s="50">
        <v>0.99514940351444359</v>
      </c>
    </row>
    <row r="26" spans="1:8">
      <c r="A26" s="36" t="s">
        <v>84</v>
      </c>
      <c r="B26" s="74">
        <v>1.32</v>
      </c>
      <c r="C26" s="36" t="s">
        <v>176</v>
      </c>
      <c r="D26" s="53">
        <v>2.7989999999999999</v>
      </c>
      <c r="E26" s="36" t="s">
        <v>171</v>
      </c>
      <c r="F26" s="53">
        <v>9.7664142952861202E-2</v>
      </c>
      <c r="G26" s="36" t="s">
        <v>87</v>
      </c>
      <c r="H26" s="53">
        <v>0.16</v>
      </c>
    </row>
    <row r="27" spans="1:8">
      <c r="A27" s="60" t="s">
        <v>177</v>
      </c>
      <c r="B27" s="61">
        <v>0.8921586742500367</v>
      </c>
      <c r="C27" s="60" t="s">
        <v>177</v>
      </c>
      <c r="D27" s="61">
        <v>0.69270240154648299</v>
      </c>
      <c r="E27" s="60" t="s">
        <v>177</v>
      </c>
      <c r="F27" s="61">
        <v>0.72365862194629771</v>
      </c>
      <c r="G27" s="60" t="s">
        <v>177</v>
      </c>
      <c r="H27" s="61">
        <v>0.64717552320631411</v>
      </c>
    </row>
    <row r="28" spans="1:8">
      <c r="A28" s="94" t="s">
        <v>82</v>
      </c>
      <c r="B28" s="94"/>
      <c r="C28" s="94"/>
      <c r="D28" s="94"/>
      <c r="E28" s="94"/>
      <c r="F28" s="94"/>
      <c r="G28" s="94"/>
      <c r="H28" s="94"/>
    </row>
    <row r="29" spans="1:8" ht="124.5" customHeight="1">
      <c r="A29" s="94" t="s">
        <v>190</v>
      </c>
      <c r="B29" s="94"/>
      <c r="C29" s="94"/>
      <c r="D29" s="94"/>
      <c r="E29" s="94"/>
      <c r="F29" s="94"/>
      <c r="G29" s="94"/>
      <c r="H29" s="94"/>
    </row>
    <row r="30" spans="1:8" ht="12" customHeight="1">
      <c r="A30" s="41"/>
    </row>
    <row r="31" spans="1:8" ht="26.1" customHeight="1">
      <c r="A31" s="95"/>
      <c r="B31" s="96"/>
      <c r="C31" s="96"/>
      <c r="D31" s="96"/>
      <c r="E31" s="96"/>
      <c r="F31" s="96"/>
      <c r="G31" s="96"/>
      <c r="H31" s="96"/>
    </row>
    <row r="32" spans="1:8" ht="28.5" customHeight="1">
      <c r="A32" s="94"/>
      <c r="B32" s="94"/>
      <c r="C32" s="94"/>
      <c r="D32" s="94"/>
      <c r="E32" s="94"/>
      <c r="F32" s="94"/>
      <c r="G32" s="94"/>
      <c r="H32" s="94"/>
    </row>
    <row r="35" spans="1:1">
      <c r="A35" s="51"/>
    </row>
    <row r="36" spans="1:1">
      <c r="A36" s="51"/>
    </row>
    <row r="37" spans="1:1">
      <c r="A37" s="51"/>
    </row>
    <row r="38" spans="1:1">
      <c r="A38" s="51"/>
    </row>
    <row r="39" spans="1:1">
      <c r="A39" s="51"/>
    </row>
    <row r="40" spans="1:1">
      <c r="A40" s="51"/>
    </row>
    <row r="41" spans="1:1">
      <c r="A41" s="51"/>
    </row>
  </sheetData>
  <mergeCells count="4">
    <mergeCell ref="A28:H28"/>
    <mergeCell ref="A29:H29"/>
    <mergeCell ref="A31:H31"/>
    <mergeCell ref="A32:H32"/>
  </mergeCells>
  <phoneticPr fontId="5"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1"/>
  <sheetViews>
    <sheetView zoomScale="150" zoomScaleNormal="150" zoomScalePageLayoutView="150" workbookViewId="0">
      <selection activeCell="I40" sqref="I40"/>
    </sheetView>
  </sheetViews>
  <sheetFormatPr defaultColWidth="11" defaultRowHeight="12.75"/>
  <cols>
    <col min="1" max="1" width="15.25" customWidth="1"/>
    <col min="3" max="3" width="14.625" customWidth="1"/>
  </cols>
  <sheetData>
    <row r="2" spans="1:7">
      <c r="A2" t="s">
        <v>37</v>
      </c>
    </row>
    <row r="3" spans="1:7">
      <c r="D3" t="s">
        <v>32</v>
      </c>
    </row>
    <row r="4" spans="1:7">
      <c r="B4" t="s">
        <v>20</v>
      </c>
      <c r="C4" t="s">
        <v>59</v>
      </c>
      <c r="D4" s="1" t="s">
        <v>33</v>
      </c>
      <c r="E4" t="s">
        <v>36</v>
      </c>
      <c r="F4" t="s">
        <v>35</v>
      </c>
      <c r="G4" t="s">
        <v>178</v>
      </c>
    </row>
    <row r="5" spans="1:7">
      <c r="A5" t="s">
        <v>30</v>
      </c>
      <c r="B5">
        <v>1910</v>
      </c>
      <c r="C5">
        <v>28572000</v>
      </c>
      <c r="D5">
        <v>6380000</v>
      </c>
      <c r="E5">
        <v>4534000</v>
      </c>
      <c r="F5">
        <v>110000</v>
      </c>
      <c r="G5">
        <f>F5/D5</f>
        <v>1.7241379310344827E-2</v>
      </c>
    </row>
    <row r="6" spans="1:7">
      <c r="A6" t="s">
        <v>31</v>
      </c>
      <c r="B6">
        <v>1923</v>
      </c>
      <c r="C6">
        <v>6535000</v>
      </c>
      <c r="D6">
        <v>1078000</v>
      </c>
      <c r="E6">
        <v>819000</v>
      </c>
      <c r="F6">
        <v>31100</v>
      </c>
      <c r="G6">
        <f t="shared" ref="G6:G16" si="0">F6/D6</f>
        <v>2.8849721706864565E-2</v>
      </c>
    </row>
    <row r="7" spans="1:7">
      <c r="A7" t="s">
        <v>21</v>
      </c>
      <c r="B7">
        <v>1911</v>
      </c>
      <c r="C7">
        <v>39192000</v>
      </c>
      <c r="D7">
        <v>6627000</v>
      </c>
      <c r="E7">
        <v>5682000</v>
      </c>
      <c r="F7">
        <v>158000</v>
      </c>
      <c r="G7">
        <f t="shared" si="0"/>
        <v>2.3841859061415421E-2</v>
      </c>
    </row>
    <row r="8" spans="1:7">
      <c r="A8" t="s">
        <v>22</v>
      </c>
      <c r="B8">
        <v>1910</v>
      </c>
      <c r="C8">
        <v>64926000</v>
      </c>
      <c r="D8">
        <v>14318000</v>
      </c>
      <c r="E8">
        <v>10310000</v>
      </c>
      <c r="F8">
        <v>187000</v>
      </c>
      <c r="G8">
        <f t="shared" si="0"/>
        <v>1.3060483307724543E-2</v>
      </c>
    </row>
    <row r="9" spans="1:7">
      <c r="A9" t="s">
        <v>34</v>
      </c>
      <c r="B9">
        <v>1910</v>
      </c>
      <c r="C9">
        <v>7615000</v>
      </c>
      <c r="D9">
        <v>1673000</v>
      </c>
      <c r="F9">
        <v>33000</v>
      </c>
      <c r="G9">
        <f t="shared" si="0"/>
        <v>1.9725044829647341E-2</v>
      </c>
    </row>
    <row r="10" spans="1:7">
      <c r="A10" t="s">
        <v>23</v>
      </c>
      <c r="B10">
        <v>1911</v>
      </c>
      <c r="C10">
        <v>4390000</v>
      </c>
      <c r="D10">
        <v>865000</v>
      </c>
      <c r="E10">
        <v>513000</v>
      </c>
      <c r="F10">
        <v>13000</v>
      </c>
      <c r="G10">
        <f t="shared" si="0"/>
        <v>1.5028901734104046E-2</v>
      </c>
    </row>
    <row r="11" spans="1:7">
      <c r="A11" t="s">
        <v>24</v>
      </c>
      <c r="B11">
        <v>1911</v>
      </c>
      <c r="C11">
        <v>34671000</v>
      </c>
      <c r="D11">
        <v>7421000</v>
      </c>
      <c r="E11">
        <v>3354000</v>
      </c>
      <c r="F11">
        <v>75100</v>
      </c>
      <c r="G11">
        <f t="shared" si="0"/>
        <v>1.0119929928581054E-2</v>
      </c>
    </row>
    <row r="12" spans="1:7">
      <c r="A12" t="s">
        <v>25</v>
      </c>
      <c r="B12">
        <v>1911</v>
      </c>
      <c r="C12">
        <v>5958000</v>
      </c>
      <c r="D12">
        <v>1339000</v>
      </c>
    </row>
    <row r="13" spans="1:7">
      <c r="A13" t="s">
        <v>26</v>
      </c>
      <c r="B13">
        <v>1910</v>
      </c>
      <c r="C13">
        <v>19927000</v>
      </c>
      <c r="D13">
        <v>4318000</v>
      </c>
      <c r="F13">
        <v>37000</v>
      </c>
      <c r="G13">
        <f t="shared" si="0"/>
        <v>8.5687818434460397E-3</v>
      </c>
    </row>
    <row r="14" spans="1:7">
      <c r="A14" t="s">
        <v>27</v>
      </c>
      <c r="B14">
        <v>1910</v>
      </c>
      <c r="C14">
        <v>5522000</v>
      </c>
      <c r="D14">
        <v>1132000</v>
      </c>
      <c r="E14">
        <v>791000</v>
      </c>
      <c r="F14">
        <v>21500</v>
      </c>
      <c r="G14">
        <f t="shared" si="0"/>
        <v>1.8992932862190812E-2</v>
      </c>
    </row>
    <row r="15" spans="1:7">
      <c r="A15" t="s">
        <v>28</v>
      </c>
      <c r="B15">
        <v>1911</v>
      </c>
      <c r="C15">
        <v>36070000</v>
      </c>
      <c r="D15">
        <v>7197000</v>
      </c>
      <c r="E15">
        <v>5367000</v>
      </c>
      <c r="F15">
        <v>164000</v>
      </c>
      <c r="G15">
        <f t="shared" si="0"/>
        <v>2.2787272474642212E-2</v>
      </c>
    </row>
    <row r="16" spans="1:7">
      <c r="A16" t="s">
        <v>29</v>
      </c>
      <c r="B16">
        <v>1911</v>
      </c>
      <c r="C16">
        <v>4761000</v>
      </c>
      <c r="D16">
        <v>1004000</v>
      </c>
      <c r="E16">
        <v>734000</v>
      </c>
      <c r="F16">
        <v>20400</v>
      </c>
      <c r="G16">
        <f t="shared" si="0"/>
        <v>2.0318725099601594E-2</v>
      </c>
    </row>
    <row r="19" spans="1:9">
      <c r="A19" t="s">
        <v>38</v>
      </c>
    </row>
    <row r="21" spans="1:9">
      <c r="A21" t="s">
        <v>39</v>
      </c>
      <c r="B21" t="s">
        <v>42</v>
      </c>
      <c r="C21" t="s">
        <v>40</v>
      </c>
      <c r="D21" t="s">
        <v>41</v>
      </c>
      <c r="E21" t="s">
        <v>43</v>
      </c>
      <c r="F21" t="s">
        <v>7</v>
      </c>
      <c r="H21" t="s">
        <v>63</v>
      </c>
    </row>
    <row r="22" spans="1:9">
      <c r="A22" t="s">
        <v>44</v>
      </c>
      <c r="B22">
        <v>1910</v>
      </c>
      <c r="C22" t="s">
        <v>45</v>
      </c>
      <c r="D22">
        <v>4757000</v>
      </c>
      <c r="E22">
        <v>110000</v>
      </c>
      <c r="F22">
        <v>746</v>
      </c>
      <c r="G22">
        <f>E22/H22</f>
        <v>1.7250367878915283E-2</v>
      </c>
      <c r="H22">
        <f>D22*1000/F22</f>
        <v>6376675.6032171585</v>
      </c>
    </row>
    <row r="23" spans="1:9">
      <c r="B23">
        <v>1910</v>
      </c>
      <c r="C23" t="s">
        <v>46</v>
      </c>
      <c r="D23">
        <v>4341000</v>
      </c>
      <c r="E23">
        <v>104300</v>
      </c>
      <c r="F23">
        <v>680</v>
      </c>
      <c r="G23">
        <f t="shared" ref="G23:G51" si="1">E23/H23</f>
        <v>1.6338170928357522E-2</v>
      </c>
      <c r="H23">
        <f t="shared" ref="H23:H51" si="2">D23*1000/F23</f>
        <v>6383823.5294117648</v>
      </c>
    </row>
    <row r="24" spans="1:9">
      <c r="A24" t="s">
        <v>21</v>
      </c>
      <c r="B24">
        <v>1910</v>
      </c>
      <c r="C24" t="s">
        <v>45</v>
      </c>
      <c r="D24">
        <v>5682000</v>
      </c>
      <c r="E24">
        <v>158000</v>
      </c>
      <c r="F24">
        <v>857</v>
      </c>
      <c r="G24">
        <f t="shared" si="1"/>
        <v>2.383069341781063E-2</v>
      </c>
      <c r="H24">
        <f t="shared" si="2"/>
        <v>6630105.017502917</v>
      </c>
    </row>
    <row r="25" spans="1:9">
      <c r="B25">
        <v>1910</v>
      </c>
      <c r="C25" t="s">
        <v>47</v>
      </c>
      <c r="D25">
        <v>5623000</v>
      </c>
      <c r="E25">
        <v>157000</v>
      </c>
      <c r="F25">
        <v>848</v>
      </c>
      <c r="G25">
        <f t="shared" si="1"/>
        <v>2.3677040725591323E-2</v>
      </c>
      <c r="H25">
        <f t="shared" si="2"/>
        <v>6630896.226415094</v>
      </c>
    </row>
    <row r="26" spans="1:9">
      <c r="B26">
        <v>1910</v>
      </c>
      <c r="C26" t="s">
        <v>48</v>
      </c>
      <c r="D26">
        <v>5631000</v>
      </c>
      <c r="F26">
        <v>850</v>
      </c>
      <c r="G26">
        <f t="shared" si="1"/>
        <v>0</v>
      </c>
      <c r="H26">
        <f t="shared" si="2"/>
        <v>6624705.8823529407</v>
      </c>
    </row>
    <row r="27" spans="1:9">
      <c r="A27" t="s">
        <v>22</v>
      </c>
      <c r="B27">
        <v>1910</v>
      </c>
      <c r="C27" t="s">
        <v>49</v>
      </c>
      <c r="D27">
        <v>10310000</v>
      </c>
      <c r="E27">
        <v>187000</v>
      </c>
      <c r="F27">
        <v>720</v>
      </c>
      <c r="G27">
        <f t="shared" si="1"/>
        <v>1.3059165858389912E-2</v>
      </c>
      <c r="H27">
        <f t="shared" si="2"/>
        <v>14319444.444444444</v>
      </c>
    </row>
    <row r="28" spans="1:9">
      <c r="A28" t="s">
        <v>50</v>
      </c>
      <c r="B28">
        <v>1910</v>
      </c>
      <c r="D28">
        <v>2471000</v>
      </c>
      <c r="E28">
        <v>33000</v>
      </c>
      <c r="F28">
        <v>526</v>
      </c>
      <c r="G28">
        <f t="shared" si="1"/>
        <v>7.0246863617968438E-3</v>
      </c>
      <c r="H28">
        <f t="shared" si="2"/>
        <v>4697718.6311787069</v>
      </c>
    </row>
    <row r="29" spans="1:9">
      <c r="A29" t="s">
        <v>51</v>
      </c>
      <c r="B29">
        <v>1910</v>
      </c>
      <c r="C29" t="s">
        <v>45</v>
      </c>
      <c r="D29">
        <v>3309000</v>
      </c>
      <c r="E29">
        <v>72800</v>
      </c>
      <c r="F29">
        <v>446</v>
      </c>
      <c r="G29">
        <f t="shared" si="1"/>
        <v>9.812269567845271E-3</v>
      </c>
      <c r="H29">
        <f t="shared" si="2"/>
        <v>7419282.511210762</v>
      </c>
    </row>
    <row r="30" spans="1:9">
      <c r="B30">
        <v>1910</v>
      </c>
      <c r="C30" t="s">
        <v>49</v>
      </c>
      <c r="D30">
        <v>3059000</v>
      </c>
      <c r="F30">
        <v>422</v>
      </c>
      <c r="G30">
        <f t="shared" si="1"/>
        <v>0</v>
      </c>
      <c r="H30">
        <f t="shared" si="2"/>
        <v>7248815.1658767769</v>
      </c>
    </row>
    <row r="31" spans="1:9">
      <c r="A31" t="s">
        <v>52</v>
      </c>
      <c r="B31">
        <v>1910</v>
      </c>
      <c r="C31" t="s">
        <v>49</v>
      </c>
      <c r="D31">
        <v>264000</v>
      </c>
      <c r="F31">
        <v>200</v>
      </c>
      <c r="G31">
        <f t="shared" si="1"/>
        <v>0</v>
      </c>
      <c r="H31">
        <f t="shared" si="2"/>
        <v>1320000</v>
      </c>
    </row>
    <row r="32" spans="1:9">
      <c r="A32" t="s">
        <v>53</v>
      </c>
      <c r="B32">
        <v>1910</v>
      </c>
      <c r="D32">
        <v>2045000</v>
      </c>
      <c r="E32">
        <v>37000</v>
      </c>
      <c r="F32">
        <v>473</v>
      </c>
      <c r="G32">
        <f t="shared" si="1"/>
        <v>8.5579462102689484E-3</v>
      </c>
      <c r="H32">
        <f t="shared" si="2"/>
        <v>4323467.230443975</v>
      </c>
      <c r="I32">
        <f>D32/E32</f>
        <v>55.270270270270274</v>
      </c>
    </row>
    <row r="33" spans="1:9">
      <c r="A33" t="s">
        <v>54</v>
      </c>
      <c r="B33">
        <v>1910</v>
      </c>
      <c r="C33" t="s">
        <v>55</v>
      </c>
      <c r="D33">
        <v>792000</v>
      </c>
      <c r="E33">
        <v>21500</v>
      </c>
      <c r="F33">
        <v>640</v>
      </c>
      <c r="G33">
        <f t="shared" si="1"/>
        <v>1.7373737373737375E-2</v>
      </c>
      <c r="H33">
        <f t="shared" si="2"/>
        <v>1237500</v>
      </c>
    </row>
    <row r="34" spans="1:9">
      <c r="A34" t="s">
        <v>0</v>
      </c>
      <c r="B34">
        <v>1910</v>
      </c>
      <c r="C34" t="s">
        <v>3</v>
      </c>
      <c r="D34">
        <v>5382000</v>
      </c>
      <c r="E34">
        <v>167000</v>
      </c>
      <c r="F34">
        <v>748</v>
      </c>
      <c r="G34">
        <f t="shared" si="1"/>
        <v>2.32099591230026E-2</v>
      </c>
      <c r="H34">
        <f t="shared" si="2"/>
        <v>7195187.1657754015</v>
      </c>
    </row>
    <row r="35" spans="1:9">
      <c r="A35" t="s">
        <v>29</v>
      </c>
      <c r="B35">
        <v>1910</v>
      </c>
      <c r="C35" t="s">
        <v>3</v>
      </c>
      <c r="D35">
        <v>732000</v>
      </c>
      <c r="E35">
        <v>20000</v>
      </c>
      <c r="F35">
        <v>729</v>
      </c>
      <c r="G35">
        <f t="shared" si="1"/>
        <v>1.9918032786885247E-2</v>
      </c>
      <c r="H35">
        <f t="shared" si="2"/>
        <v>1004115.2263374486</v>
      </c>
    </row>
    <row r="36" spans="1:9">
      <c r="A36" t="s">
        <v>1</v>
      </c>
      <c r="B36">
        <v>1910</v>
      </c>
      <c r="C36" t="s">
        <v>49</v>
      </c>
      <c r="D36">
        <v>727000</v>
      </c>
      <c r="F36">
        <v>724</v>
      </c>
      <c r="G36">
        <f t="shared" si="1"/>
        <v>0</v>
      </c>
      <c r="H36">
        <f t="shared" si="2"/>
        <v>1004143.6464088397</v>
      </c>
    </row>
    <row r="37" spans="1:9">
      <c r="A37" t="s">
        <v>2</v>
      </c>
      <c r="B37">
        <v>1910</v>
      </c>
      <c r="C37" t="s">
        <v>3</v>
      </c>
      <c r="D37">
        <v>496000</v>
      </c>
      <c r="F37">
        <v>574</v>
      </c>
      <c r="G37">
        <f t="shared" si="1"/>
        <v>0</v>
      </c>
      <c r="H37">
        <f t="shared" si="2"/>
        <v>864111.4982578397</v>
      </c>
    </row>
    <row r="38" spans="1:9">
      <c r="A38" t="s">
        <v>23</v>
      </c>
      <c r="B38">
        <v>1910</v>
      </c>
      <c r="C38" t="s">
        <v>49</v>
      </c>
      <c r="D38">
        <v>496000</v>
      </c>
      <c r="E38">
        <v>12800</v>
      </c>
      <c r="F38">
        <v>574</v>
      </c>
      <c r="G38">
        <f t="shared" si="1"/>
        <v>1.4812903225806452E-2</v>
      </c>
      <c r="H38">
        <f t="shared" si="2"/>
        <v>864111.4982578397</v>
      </c>
    </row>
    <row r="39" spans="1:9">
      <c r="A39" t="s">
        <v>4</v>
      </c>
      <c r="B39">
        <v>1910</v>
      </c>
      <c r="D39">
        <v>658000</v>
      </c>
      <c r="E39">
        <v>40000</v>
      </c>
      <c r="F39">
        <v>231</v>
      </c>
      <c r="G39">
        <f t="shared" si="1"/>
        <v>1.4042553191489362E-2</v>
      </c>
      <c r="H39">
        <f t="shared" si="2"/>
        <v>2848484.8484848486</v>
      </c>
      <c r="I39">
        <f>D39/E39</f>
        <v>16.45</v>
      </c>
    </row>
    <row r="40" spans="1:9">
      <c r="A40" t="s">
        <v>5</v>
      </c>
      <c r="B40">
        <v>1910</v>
      </c>
      <c r="D40">
        <v>694000</v>
      </c>
      <c r="E40">
        <v>20000</v>
      </c>
      <c r="F40">
        <v>409</v>
      </c>
      <c r="G40">
        <f t="shared" si="1"/>
        <v>1.1786743515850144E-2</v>
      </c>
      <c r="H40">
        <f t="shared" si="2"/>
        <v>1696821.5158924204</v>
      </c>
    </row>
    <row r="41" spans="1:9">
      <c r="A41" t="s">
        <v>6</v>
      </c>
      <c r="B41">
        <v>1910</v>
      </c>
      <c r="D41">
        <v>317000</v>
      </c>
      <c r="E41">
        <v>4800</v>
      </c>
      <c r="F41">
        <v>431</v>
      </c>
      <c r="G41">
        <f t="shared" si="1"/>
        <v>6.5261829652996841E-3</v>
      </c>
      <c r="H41">
        <f t="shared" si="2"/>
        <v>735498.83990719263</v>
      </c>
    </row>
    <row r="42" spans="1:9">
      <c r="A42" t="s">
        <v>8</v>
      </c>
      <c r="B42">
        <v>1910</v>
      </c>
      <c r="D42">
        <v>240000</v>
      </c>
      <c r="G42" t="e">
        <f t="shared" si="1"/>
        <v>#DIV/0!</v>
      </c>
      <c r="H42" t="e">
        <f t="shared" si="2"/>
        <v>#DIV/0!</v>
      </c>
    </row>
    <row r="43" spans="1:9">
      <c r="A43" t="s">
        <v>9</v>
      </c>
      <c r="B43">
        <v>1910</v>
      </c>
      <c r="D43">
        <v>97000</v>
      </c>
      <c r="G43" t="e">
        <f t="shared" si="1"/>
        <v>#DIV/0!</v>
      </c>
      <c r="H43" t="e">
        <f t="shared" si="2"/>
        <v>#DIV/0!</v>
      </c>
    </row>
    <row r="44" spans="1:9">
      <c r="A44" t="s">
        <v>10</v>
      </c>
      <c r="B44">
        <v>1910</v>
      </c>
      <c r="D44">
        <v>146000</v>
      </c>
      <c r="E44">
        <v>2800</v>
      </c>
      <c r="G44" t="e">
        <f t="shared" si="1"/>
        <v>#DIV/0!</v>
      </c>
      <c r="H44" t="e">
        <f t="shared" si="2"/>
        <v>#DIV/0!</v>
      </c>
    </row>
    <row r="45" spans="1:9">
      <c r="A45" t="s">
        <v>11</v>
      </c>
      <c r="B45">
        <v>1910</v>
      </c>
      <c r="D45">
        <v>95000</v>
      </c>
      <c r="E45">
        <v>2300</v>
      </c>
      <c r="F45">
        <v>292</v>
      </c>
      <c r="G45">
        <f t="shared" si="1"/>
        <v>7.0694736842105256E-3</v>
      </c>
      <c r="H45">
        <f t="shared" si="2"/>
        <v>325342.46575342468</v>
      </c>
    </row>
    <row r="46" spans="1:9">
      <c r="A46" t="s">
        <v>12</v>
      </c>
      <c r="B46">
        <v>1910</v>
      </c>
      <c r="D46">
        <v>216000</v>
      </c>
      <c r="F46">
        <v>74</v>
      </c>
      <c r="G46">
        <f t="shared" si="1"/>
        <v>0</v>
      </c>
      <c r="H46">
        <f t="shared" si="2"/>
        <v>2918918.9189189188</v>
      </c>
    </row>
    <row r="47" spans="1:9">
      <c r="A47" t="s">
        <v>13</v>
      </c>
      <c r="B47">
        <v>1910</v>
      </c>
      <c r="C47" t="s">
        <v>14</v>
      </c>
      <c r="D47">
        <v>366000</v>
      </c>
      <c r="G47" t="e">
        <f t="shared" si="1"/>
        <v>#DIV/0!</v>
      </c>
      <c r="H47" t="e">
        <f t="shared" si="2"/>
        <v>#DIV/0!</v>
      </c>
    </row>
    <row r="48" spans="1:9">
      <c r="A48" t="s">
        <v>15</v>
      </c>
      <c r="B48">
        <v>1910</v>
      </c>
      <c r="D48">
        <v>6338000</v>
      </c>
      <c r="E48">
        <v>116070</v>
      </c>
      <c r="F48">
        <v>599</v>
      </c>
      <c r="G48">
        <f t="shared" si="1"/>
        <v>1.0969695487535501E-2</v>
      </c>
      <c r="H48">
        <f t="shared" si="2"/>
        <v>10580968.280467445</v>
      </c>
    </row>
    <row r="49" spans="1:8">
      <c r="A49" t="s">
        <v>16</v>
      </c>
      <c r="B49">
        <v>1910</v>
      </c>
      <c r="C49" t="s">
        <v>49</v>
      </c>
      <c r="D49">
        <v>607000</v>
      </c>
      <c r="G49" t="e">
        <f t="shared" si="1"/>
        <v>#DIV/0!</v>
      </c>
      <c r="H49" t="e">
        <f t="shared" si="2"/>
        <v>#DIV/0!</v>
      </c>
    </row>
    <row r="50" spans="1:8">
      <c r="A50" t="s">
        <v>17</v>
      </c>
      <c r="B50">
        <v>1910</v>
      </c>
      <c r="C50" t="s">
        <v>18</v>
      </c>
      <c r="D50">
        <v>336000</v>
      </c>
      <c r="G50" t="e">
        <f t="shared" si="1"/>
        <v>#DIV/0!</v>
      </c>
      <c r="H50" t="e">
        <f t="shared" si="2"/>
        <v>#DIV/0!</v>
      </c>
    </row>
    <row r="51" spans="1:8">
      <c r="C51" t="s">
        <v>19</v>
      </c>
      <c r="G51" t="e">
        <f t="shared" si="1"/>
        <v>#DIV/0!</v>
      </c>
      <c r="H51" t="e">
        <f t="shared" si="2"/>
        <v>#DIV/0!</v>
      </c>
    </row>
  </sheetData>
  <phoneticPr fontId="5"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8"/>
  <sheetViews>
    <sheetView tabSelected="1" zoomScale="70" zoomScaleNormal="70" workbookViewId="0">
      <pane xSplit="3" ySplit="11" topLeftCell="D12" activePane="bottomRight" state="frozen"/>
      <selection pane="topRight" activeCell="D1" sqref="D1"/>
      <selection pane="bottomLeft" activeCell="A12" sqref="A12"/>
      <selection pane="bottomRight" activeCell="E24" sqref="E24"/>
    </sheetView>
  </sheetViews>
  <sheetFormatPr defaultColWidth="11" defaultRowHeight="14.25"/>
  <cols>
    <col min="1" max="2" width="11" style="102"/>
    <col min="3" max="3" width="15.875" style="102" customWidth="1"/>
    <col min="4" max="4" width="11.75" style="102" customWidth="1"/>
    <col min="5" max="5" width="13.875" style="102" customWidth="1"/>
    <col min="6" max="6" width="8.75" style="102" customWidth="1"/>
    <col min="7" max="8" width="13.75" style="102" customWidth="1"/>
    <col min="9" max="9" width="5.125" style="102" customWidth="1"/>
    <col min="10" max="10" width="7.75" style="103" customWidth="1"/>
    <col min="11" max="11" width="13.625" style="102" bestFit="1" customWidth="1"/>
    <col min="12" max="12" width="9.25" style="102" bestFit="1" customWidth="1"/>
    <col min="13" max="13" width="12.375" style="102" customWidth="1"/>
    <col min="14" max="14" width="9.125" style="102" customWidth="1"/>
    <col min="15" max="15" width="9.625" style="102" customWidth="1"/>
    <col min="16" max="241" width="11" style="102"/>
    <col min="242" max="242" width="15.875" style="102" customWidth="1"/>
    <col min="243" max="243" width="11.75" style="102" customWidth="1"/>
    <col min="244" max="244" width="13.875" style="102" customWidth="1"/>
    <col min="245" max="245" width="8.75" style="102" customWidth="1"/>
    <col min="246" max="247" width="13.75" style="102" customWidth="1"/>
    <col min="248" max="248" width="5.125" style="102" customWidth="1"/>
    <col min="249" max="249" width="7.75" style="102" customWidth="1"/>
    <col min="250" max="250" width="13.625" style="102" bestFit="1" customWidth="1"/>
    <col min="251" max="251" width="9.25" style="102" bestFit="1" customWidth="1"/>
    <col min="252" max="252" width="12.375" style="102" customWidth="1"/>
    <col min="253" max="253" width="9.125" style="102" customWidth="1"/>
    <col min="254" max="256" width="9.625" style="102" customWidth="1"/>
    <col min="257" max="257" width="9.75" style="102" bestFit="1" customWidth="1"/>
    <col min="258" max="258" width="9.75" style="102" customWidth="1"/>
    <col min="259" max="497" width="11" style="102"/>
    <col min="498" max="498" width="15.875" style="102" customWidth="1"/>
    <col min="499" max="499" width="11.75" style="102" customWidth="1"/>
    <col min="500" max="500" width="13.875" style="102" customWidth="1"/>
    <col min="501" max="501" width="8.75" style="102" customWidth="1"/>
    <col min="502" max="503" width="13.75" style="102" customWidth="1"/>
    <col min="504" max="504" width="5.125" style="102" customWidth="1"/>
    <col min="505" max="505" width="7.75" style="102" customWidth="1"/>
    <col min="506" max="506" width="13.625" style="102" bestFit="1" customWidth="1"/>
    <col min="507" max="507" width="9.25" style="102" bestFit="1" customWidth="1"/>
    <col min="508" max="508" width="12.375" style="102" customWidth="1"/>
    <col min="509" max="509" width="9.125" style="102" customWidth="1"/>
    <col min="510" max="512" width="9.625" style="102" customWidth="1"/>
    <col min="513" max="513" width="9.75" style="102" bestFit="1" customWidth="1"/>
    <col min="514" max="514" width="9.75" style="102" customWidth="1"/>
    <col min="515" max="753" width="11" style="102"/>
    <col min="754" max="754" width="15.875" style="102" customWidth="1"/>
    <col min="755" max="755" width="11.75" style="102" customWidth="1"/>
    <col min="756" max="756" width="13.875" style="102" customWidth="1"/>
    <col min="757" max="757" width="8.75" style="102" customWidth="1"/>
    <col min="758" max="759" width="13.75" style="102" customWidth="1"/>
    <col min="760" max="760" width="5.125" style="102" customWidth="1"/>
    <col min="761" max="761" width="7.75" style="102" customWidth="1"/>
    <col min="762" max="762" width="13.625" style="102" bestFit="1" customWidth="1"/>
    <col min="763" max="763" width="9.25" style="102" bestFit="1" customWidth="1"/>
    <col min="764" max="764" width="12.375" style="102" customWidth="1"/>
    <col min="765" max="765" width="9.125" style="102" customWidth="1"/>
    <col min="766" max="768" width="9.625" style="102" customWidth="1"/>
    <col min="769" max="769" width="9.75" style="102" bestFit="1" customWidth="1"/>
    <col min="770" max="770" width="9.75" style="102" customWidth="1"/>
    <col min="771" max="1009" width="11" style="102"/>
    <col min="1010" max="1010" width="15.875" style="102" customWidth="1"/>
    <col min="1011" max="1011" width="11.75" style="102" customWidth="1"/>
    <col min="1012" max="1012" width="13.875" style="102" customWidth="1"/>
    <col min="1013" max="1013" width="8.75" style="102" customWidth="1"/>
    <col min="1014" max="1015" width="13.75" style="102" customWidth="1"/>
    <col min="1016" max="1016" width="5.125" style="102" customWidth="1"/>
    <col min="1017" max="1017" width="7.75" style="102" customWidth="1"/>
    <col min="1018" max="1018" width="13.625" style="102" bestFit="1" customWidth="1"/>
    <col min="1019" max="1019" width="9.25" style="102" bestFit="1" customWidth="1"/>
    <col min="1020" max="1020" width="12.375" style="102" customWidth="1"/>
    <col min="1021" max="1021" width="9.125" style="102" customWidth="1"/>
    <col min="1022" max="1024" width="9.625" style="102" customWidth="1"/>
    <col min="1025" max="1025" width="9.75" style="102" bestFit="1" customWidth="1"/>
    <col min="1026" max="1026" width="9.75" style="102" customWidth="1"/>
    <col min="1027" max="1265" width="11" style="102"/>
    <col min="1266" max="1266" width="15.875" style="102" customWidth="1"/>
    <col min="1267" max="1267" width="11.75" style="102" customWidth="1"/>
    <col min="1268" max="1268" width="13.875" style="102" customWidth="1"/>
    <col min="1269" max="1269" width="8.75" style="102" customWidth="1"/>
    <col min="1270" max="1271" width="13.75" style="102" customWidth="1"/>
    <col min="1272" max="1272" width="5.125" style="102" customWidth="1"/>
    <col min="1273" max="1273" width="7.75" style="102" customWidth="1"/>
    <col min="1274" max="1274" width="13.625" style="102" bestFit="1" customWidth="1"/>
    <col min="1275" max="1275" width="9.25" style="102" bestFit="1" customWidth="1"/>
    <col min="1276" max="1276" width="12.375" style="102" customWidth="1"/>
    <col min="1277" max="1277" width="9.125" style="102" customWidth="1"/>
    <col min="1278" max="1280" width="9.625" style="102" customWidth="1"/>
    <col min="1281" max="1281" width="9.75" style="102" bestFit="1" customWidth="1"/>
    <col min="1282" max="1282" width="9.75" style="102" customWidth="1"/>
    <col min="1283" max="1521" width="11" style="102"/>
    <col min="1522" max="1522" width="15.875" style="102" customWidth="1"/>
    <col min="1523" max="1523" width="11.75" style="102" customWidth="1"/>
    <col min="1524" max="1524" width="13.875" style="102" customWidth="1"/>
    <col min="1525" max="1525" width="8.75" style="102" customWidth="1"/>
    <col min="1526" max="1527" width="13.75" style="102" customWidth="1"/>
    <col min="1528" max="1528" width="5.125" style="102" customWidth="1"/>
    <col min="1529" max="1529" width="7.75" style="102" customWidth="1"/>
    <col min="1530" max="1530" width="13.625" style="102" bestFit="1" customWidth="1"/>
    <col min="1531" max="1531" width="9.25" style="102" bestFit="1" customWidth="1"/>
    <col min="1532" max="1532" width="12.375" style="102" customWidth="1"/>
    <col min="1533" max="1533" width="9.125" style="102" customWidth="1"/>
    <col min="1534" max="1536" width="9.625" style="102" customWidth="1"/>
    <col min="1537" max="1537" width="9.75" style="102" bestFit="1" customWidth="1"/>
    <col min="1538" max="1538" width="9.75" style="102" customWidth="1"/>
    <col min="1539" max="1777" width="11" style="102"/>
    <col min="1778" max="1778" width="15.875" style="102" customWidth="1"/>
    <col min="1779" max="1779" width="11.75" style="102" customWidth="1"/>
    <col min="1780" max="1780" width="13.875" style="102" customWidth="1"/>
    <col min="1781" max="1781" width="8.75" style="102" customWidth="1"/>
    <col min="1782" max="1783" width="13.75" style="102" customWidth="1"/>
    <col min="1784" max="1784" width="5.125" style="102" customWidth="1"/>
    <col min="1785" max="1785" width="7.75" style="102" customWidth="1"/>
    <col min="1786" max="1786" width="13.625" style="102" bestFit="1" customWidth="1"/>
    <col min="1787" max="1787" width="9.25" style="102" bestFit="1" customWidth="1"/>
    <col min="1788" max="1788" width="12.375" style="102" customWidth="1"/>
    <col min="1789" max="1789" width="9.125" style="102" customWidth="1"/>
    <col min="1790" max="1792" width="9.625" style="102" customWidth="1"/>
    <col min="1793" max="1793" width="9.75" style="102" bestFit="1" customWidth="1"/>
    <col min="1794" max="1794" width="9.75" style="102" customWidth="1"/>
    <col min="1795" max="2033" width="11" style="102"/>
    <col min="2034" max="2034" width="15.875" style="102" customWidth="1"/>
    <col min="2035" max="2035" width="11.75" style="102" customWidth="1"/>
    <col min="2036" max="2036" width="13.875" style="102" customWidth="1"/>
    <col min="2037" max="2037" width="8.75" style="102" customWidth="1"/>
    <col min="2038" max="2039" width="13.75" style="102" customWidth="1"/>
    <col min="2040" max="2040" width="5.125" style="102" customWidth="1"/>
    <col min="2041" max="2041" width="7.75" style="102" customWidth="1"/>
    <col min="2042" max="2042" width="13.625" style="102" bestFit="1" customWidth="1"/>
    <col min="2043" max="2043" width="9.25" style="102" bestFit="1" customWidth="1"/>
    <col min="2044" max="2044" width="12.375" style="102" customWidth="1"/>
    <col min="2045" max="2045" width="9.125" style="102" customWidth="1"/>
    <col min="2046" max="2048" width="9.625" style="102" customWidth="1"/>
    <col min="2049" max="2049" width="9.75" style="102" bestFit="1" customWidth="1"/>
    <col min="2050" max="2050" width="9.75" style="102" customWidth="1"/>
    <col min="2051" max="2289" width="11" style="102"/>
    <col min="2290" max="2290" width="15.875" style="102" customWidth="1"/>
    <col min="2291" max="2291" width="11.75" style="102" customWidth="1"/>
    <col min="2292" max="2292" width="13.875" style="102" customWidth="1"/>
    <col min="2293" max="2293" width="8.75" style="102" customWidth="1"/>
    <col min="2294" max="2295" width="13.75" style="102" customWidth="1"/>
    <col min="2296" max="2296" width="5.125" style="102" customWidth="1"/>
    <col min="2297" max="2297" width="7.75" style="102" customWidth="1"/>
    <col min="2298" max="2298" width="13.625" style="102" bestFit="1" customWidth="1"/>
    <col min="2299" max="2299" width="9.25" style="102" bestFit="1" customWidth="1"/>
    <col min="2300" max="2300" width="12.375" style="102" customWidth="1"/>
    <col min="2301" max="2301" width="9.125" style="102" customWidth="1"/>
    <col min="2302" max="2304" width="9.625" style="102" customWidth="1"/>
    <col min="2305" max="2305" width="9.75" style="102" bestFit="1" customWidth="1"/>
    <col min="2306" max="2306" width="9.75" style="102" customWidth="1"/>
    <col min="2307" max="2545" width="11" style="102"/>
    <col min="2546" max="2546" width="15.875" style="102" customWidth="1"/>
    <col min="2547" max="2547" width="11.75" style="102" customWidth="1"/>
    <col min="2548" max="2548" width="13.875" style="102" customWidth="1"/>
    <col min="2549" max="2549" width="8.75" style="102" customWidth="1"/>
    <col min="2550" max="2551" width="13.75" style="102" customWidth="1"/>
    <col min="2552" max="2552" width="5.125" style="102" customWidth="1"/>
    <col min="2553" max="2553" width="7.75" style="102" customWidth="1"/>
    <col min="2554" max="2554" width="13.625" style="102" bestFit="1" customWidth="1"/>
    <col min="2555" max="2555" width="9.25" style="102" bestFit="1" customWidth="1"/>
    <col min="2556" max="2556" width="12.375" style="102" customWidth="1"/>
    <col min="2557" max="2557" width="9.125" style="102" customWidth="1"/>
    <col min="2558" max="2560" width="9.625" style="102" customWidth="1"/>
    <col min="2561" max="2561" width="9.75" style="102" bestFit="1" customWidth="1"/>
    <col min="2562" max="2562" width="9.75" style="102" customWidth="1"/>
    <col min="2563" max="2801" width="11" style="102"/>
    <col min="2802" max="2802" width="15.875" style="102" customWidth="1"/>
    <col min="2803" max="2803" width="11.75" style="102" customWidth="1"/>
    <col min="2804" max="2804" width="13.875" style="102" customWidth="1"/>
    <col min="2805" max="2805" width="8.75" style="102" customWidth="1"/>
    <col min="2806" max="2807" width="13.75" style="102" customWidth="1"/>
    <col min="2808" max="2808" width="5.125" style="102" customWidth="1"/>
    <col min="2809" max="2809" width="7.75" style="102" customWidth="1"/>
    <col min="2810" max="2810" width="13.625" style="102" bestFit="1" customWidth="1"/>
    <col min="2811" max="2811" width="9.25" style="102" bestFit="1" customWidth="1"/>
    <col min="2812" max="2812" width="12.375" style="102" customWidth="1"/>
    <col min="2813" max="2813" width="9.125" style="102" customWidth="1"/>
    <col min="2814" max="2816" width="9.625" style="102" customWidth="1"/>
    <col min="2817" max="2817" width="9.75" style="102" bestFit="1" customWidth="1"/>
    <col min="2818" max="2818" width="9.75" style="102" customWidth="1"/>
    <col min="2819" max="3057" width="11" style="102"/>
    <col min="3058" max="3058" width="15.875" style="102" customWidth="1"/>
    <col min="3059" max="3059" width="11.75" style="102" customWidth="1"/>
    <col min="3060" max="3060" width="13.875" style="102" customWidth="1"/>
    <col min="3061" max="3061" width="8.75" style="102" customWidth="1"/>
    <col min="3062" max="3063" width="13.75" style="102" customWidth="1"/>
    <col min="3064" max="3064" width="5.125" style="102" customWidth="1"/>
    <col min="3065" max="3065" width="7.75" style="102" customWidth="1"/>
    <col min="3066" max="3066" width="13.625" style="102" bestFit="1" customWidth="1"/>
    <col min="3067" max="3067" width="9.25" style="102" bestFit="1" customWidth="1"/>
    <col min="3068" max="3068" width="12.375" style="102" customWidth="1"/>
    <col min="3069" max="3069" width="9.125" style="102" customWidth="1"/>
    <col min="3070" max="3072" width="9.625" style="102" customWidth="1"/>
    <col min="3073" max="3073" width="9.75" style="102" bestFit="1" customWidth="1"/>
    <col min="3074" max="3074" width="9.75" style="102" customWidth="1"/>
    <col min="3075" max="3313" width="11" style="102"/>
    <col min="3314" max="3314" width="15.875" style="102" customWidth="1"/>
    <col min="3315" max="3315" width="11.75" style="102" customWidth="1"/>
    <col min="3316" max="3316" width="13.875" style="102" customWidth="1"/>
    <col min="3317" max="3317" width="8.75" style="102" customWidth="1"/>
    <col min="3318" max="3319" width="13.75" style="102" customWidth="1"/>
    <col min="3320" max="3320" width="5.125" style="102" customWidth="1"/>
    <col min="3321" max="3321" width="7.75" style="102" customWidth="1"/>
    <col min="3322" max="3322" width="13.625" style="102" bestFit="1" customWidth="1"/>
    <col min="3323" max="3323" width="9.25" style="102" bestFit="1" customWidth="1"/>
    <col min="3324" max="3324" width="12.375" style="102" customWidth="1"/>
    <col min="3325" max="3325" width="9.125" style="102" customWidth="1"/>
    <col min="3326" max="3328" width="9.625" style="102" customWidth="1"/>
    <col min="3329" max="3329" width="9.75" style="102" bestFit="1" customWidth="1"/>
    <col min="3330" max="3330" width="9.75" style="102" customWidth="1"/>
    <col min="3331" max="3569" width="11" style="102"/>
    <col min="3570" max="3570" width="15.875" style="102" customWidth="1"/>
    <col min="3571" max="3571" width="11.75" style="102" customWidth="1"/>
    <col min="3572" max="3572" width="13.875" style="102" customWidth="1"/>
    <col min="3573" max="3573" width="8.75" style="102" customWidth="1"/>
    <col min="3574" max="3575" width="13.75" style="102" customWidth="1"/>
    <col min="3576" max="3576" width="5.125" style="102" customWidth="1"/>
    <col min="3577" max="3577" width="7.75" style="102" customWidth="1"/>
    <col min="3578" max="3578" width="13.625" style="102" bestFit="1" customWidth="1"/>
    <col min="3579" max="3579" width="9.25" style="102" bestFit="1" customWidth="1"/>
    <col min="3580" max="3580" width="12.375" style="102" customWidth="1"/>
    <col min="3581" max="3581" width="9.125" style="102" customWidth="1"/>
    <col min="3582" max="3584" width="9.625" style="102" customWidth="1"/>
    <col min="3585" max="3585" width="9.75" style="102" bestFit="1" customWidth="1"/>
    <col min="3586" max="3586" width="9.75" style="102" customWidth="1"/>
    <col min="3587" max="3825" width="11" style="102"/>
    <col min="3826" max="3826" width="15.875" style="102" customWidth="1"/>
    <col min="3827" max="3827" width="11.75" style="102" customWidth="1"/>
    <col min="3828" max="3828" width="13.875" style="102" customWidth="1"/>
    <col min="3829" max="3829" width="8.75" style="102" customWidth="1"/>
    <col min="3830" max="3831" width="13.75" style="102" customWidth="1"/>
    <col min="3832" max="3832" width="5.125" style="102" customWidth="1"/>
    <col min="3833" max="3833" width="7.75" style="102" customWidth="1"/>
    <col min="3834" max="3834" width="13.625" style="102" bestFit="1" customWidth="1"/>
    <col min="3835" max="3835" width="9.25" style="102" bestFit="1" customWidth="1"/>
    <col min="3836" max="3836" width="12.375" style="102" customWidth="1"/>
    <col min="3837" max="3837" width="9.125" style="102" customWidth="1"/>
    <col min="3838" max="3840" width="9.625" style="102" customWidth="1"/>
    <col min="3841" max="3841" width="9.75" style="102" bestFit="1" customWidth="1"/>
    <col min="3842" max="3842" width="9.75" style="102" customWidth="1"/>
    <col min="3843" max="4081" width="11" style="102"/>
    <col min="4082" max="4082" width="15.875" style="102" customWidth="1"/>
    <col min="4083" max="4083" width="11.75" style="102" customWidth="1"/>
    <col min="4084" max="4084" width="13.875" style="102" customWidth="1"/>
    <col min="4085" max="4085" width="8.75" style="102" customWidth="1"/>
    <col min="4086" max="4087" width="13.75" style="102" customWidth="1"/>
    <col min="4088" max="4088" width="5.125" style="102" customWidth="1"/>
    <col min="4089" max="4089" width="7.75" style="102" customWidth="1"/>
    <col min="4090" max="4090" width="13.625" style="102" bestFit="1" customWidth="1"/>
    <col min="4091" max="4091" width="9.25" style="102" bestFit="1" customWidth="1"/>
    <col min="4092" max="4092" width="12.375" style="102" customWidth="1"/>
    <col min="4093" max="4093" width="9.125" style="102" customWidth="1"/>
    <col min="4094" max="4096" width="9.625" style="102" customWidth="1"/>
    <col min="4097" max="4097" width="9.75" style="102" bestFit="1" customWidth="1"/>
    <col min="4098" max="4098" width="9.75" style="102" customWidth="1"/>
    <col min="4099" max="4337" width="11" style="102"/>
    <col min="4338" max="4338" width="15.875" style="102" customWidth="1"/>
    <col min="4339" max="4339" width="11.75" style="102" customWidth="1"/>
    <col min="4340" max="4340" width="13.875" style="102" customWidth="1"/>
    <col min="4341" max="4341" width="8.75" style="102" customWidth="1"/>
    <col min="4342" max="4343" width="13.75" style="102" customWidth="1"/>
    <col min="4344" max="4344" width="5.125" style="102" customWidth="1"/>
    <col min="4345" max="4345" width="7.75" style="102" customWidth="1"/>
    <col min="4346" max="4346" width="13.625" style="102" bestFit="1" customWidth="1"/>
    <col min="4347" max="4347" width="9.25" style="102" bestFit="1" customWidth="1"/>
    <col min="4348" max="4348" width="12.375" style="102" customWidth="1"/>
    <col min="4349" max="4349" width="9.125" style="102" customWidth="1"/>
    <col min="4350" max="4352" width="9.625" style="102" customWidth="1"/>
    <col min="4353" max="4353" width="9.75" style="102" bestFit="1" customWidth="1"/>
    <col min="4354" max="4354" width="9.75" style="102" customWidth="1"/>
    <col min="4355" max="4593" width="11" style="102"/>
    <col min="4594" max="4594" width="15.875" style="102" customWidth="1"/>
    <col min="4595" max="4595" width="11.75" style="102" customWidth="1"/>
    <col min="4596" max="4596" width="13.875" style="102" customWidth="1"/>
    <col min="4597" max="4597" width="8.75" style="102" customWidth="1"/>
    <col min="4598" max="4599" width="13.75" style="102" customWidth="1"/>
    <col min="4600" max="4600" width="5.125" style="102" customWidth="1"/>
    <col min="4601" max="4601" width="7.75" style="102" customWidth="1"/>
    <col min="4602" max="4602" width="13.625" style="102" bestFit="1" customWidth="1"/>
    <col min="4603" max="4603" width="9.25" style="102" bestFit="1" customWidth="1"/>
    <col min="4604" max="4604" width="12.375" style="102" customWidth="1"/>
    <col min="4605" max="4605" width="9.125" style="102" customWidth="1"/>
    <col min="4606" max="4608" width="9.625" style="102" customWidth="1"/>
    <col min="4609" max="4609" width="9.75" style="102" bestFit="1" customWidth="1"/>
    <col min="4610" max="4610" width="9.75" style="102" customWidth="1"/>
    <col min="4611" max="4849" width="11" style="102"/>
    <col min="4850" max="4850" width="15.875" style="102" customWidth="1"/>
    <col min="4851" max="4851" width="11.75" style="102" customWidth="1"/>
    <col min="4852" max="4852" width="13.875" style="102" customWidth="1"/>
    <col min="4853" max="4853" width="8.75" style="102" customWidth="1"/>
    <col min="4854" max="4855" width="13.75" style="102" customWidth="1"/>
    <col min="4856" max="4856" width="5.125" style="102" customWidth="1"/>
    <col min="4857" max="4857" width="7.75" style="102" customWidth="1"/>
    <col min="4858" max="4858" width="13.625" style="102" bestFit="1" customWidth="1"/>
    <col min="4859" max="4859" width="9.25" style="102" bestFit="1" customWidth="1"/>
    <col min="4860" max="4860" width="12.375" style="102" customWidth="1"/>
    <col min="4861" max="4861" width="9.125" style="102" customWidth="1"/>
    <col min="4862" max="4864" width="9.625" style="102" customWidth="1"/>
    <col min="4865" max="4865" width="9.75" style="102" bestFit="1" customWidth="1"/>
    <col min="4866" max="4866" width="9.75" style="102" customWidth="1"/>
    <col min="4867" max="5105" width="11" style="102"/>
    <col min="5106" max="5106" width="15.875" style="102" customWidth="1"/>
    <col min="5107" max="5107" width="11.75" style="102" customWidth="1"/>
    <col min="5108" max="5108" width="13.875" style="102" customWidth="1"/>
    <col min="5109" max="5109" width="8.75" style="102" customWidth="1"/>
    <col min="5110" max="5111" width="13.75" style="102" customWidth="1"/>
    <col min="5112" max="5112" width="5.125" style="102" customWidth="1"/>
    <col min="5113" max="5113" width="7.75" style="102" customWidth="1"/>
    <col min="5114" max="5114" width="13.625" style="102" bestFit="1" customWidth="1"/>
    <col min="5115" max="5115" width="9.25" style="102" bestFit="1" customWidth="1"/>
    <col min="5116" max="5116" width="12.375" style="102" customWidth="1"/>
    <col min="5117" max="5117" width="9.125" style="102" customWidth="1"/>
    <col min="5118" max="5120" width="9.625" style="102" customWidth="1"/>
    <col min="5121" max="5121" width="9.75" style="102" bestFit="1" customWidth="1"/>
    <col min="5122" max="5122" width="9.75" style="102" customWidth="1"/>
    <col min="5123" max="5361" width="11" style="102"/>
    <col min="5362" max="5362" width="15.875" style="102" customWidth="1"/>
    <col min="5363" max="5363" width="11.75" style="102" customWidth="1"/>
    <col min="5364" max="5364" width="13.875" style="102" customWidth="1"/>
    <col min="5365" max="5365" width="8.75" style="102" customWidth="1"/>
    <col min="5366" max="5367" width="13.75" style="102" customWidth="1"/>
    <col min="5368" max="5368" width="5.125" style="102" customWidth="1"/>
    <col min="5369" max="5369" width="7.75" style="102" customWidth="1"/>
    <col min="5370" max="5370" width="13.625" style="102" bestFit="1" customWidth="1"/>
    <col min="5371" max="5371" width="9.25" style="102" bestFit="1" customWidth="1"/>
    <col min="5372" max="5372" width="12.375" style="102" customWidth="1"/>
    <col min="5373" max="5373" width="9.125" style="102" customWidth="1"/>
    <col min="5374" max="5376" width="9.625" style="102" customWidth="1"/>
    <col min="5377" max="5377" width="9.75" style="102" bestFit="1" customWidth="1"/>
    <col min="5378" max="5378" width="9.75" style="102" customWidth="1"/>
    <col min="5379" max="5617" width="11" style="102"/>
    <col min="5618" max="5618" width="15.875" style="102" customWidth="1"/>
    <col min="5619" max="5619" width="11.75" style="102" customWidth="1"/>
    <col min="5620" max="5620" width="13.875" style="102" customWidth="1"/>
    <col min="5621" max="5621" width="8.75" style="102" customWidth="1"/>
    <col min="5622" max="5623" width="13.75" style="102" customWidth="1"/>
    <col min="5624" max="5624" width="5.125" style="102" customWidth="1"/>
    <col min="5625" max="5625" width="7.75" style="102" customWidth="1"/>
    <col min="5626" max="5626" width="13.625" style="102" bestFit="1" customWidth="1"/>
    <col min="5627" max="5627" width="9.25" style="102" bestFit="1" customWidth="1"/>
    <col min="5628" max="5628" width="12.375" style="102" customWidth="1"/>
    <col min="5629" max="5629" width="9.125" style="102" customWidth="1"/>
    <col min="5630" max="5632" width="9.625" style="102" customWidth="1"/>
    <col min="5633" max="5633" width="9.75" style="102" bestFit="1" customWidth="1"/>
    <col min="5634" max="5634" width="9.75" style="102" customWidth="1"/>
    <col min="5635" max="5873" width="11" style="102"/>
    <col min="5874" max="5874" width="15.875" style="102" customWidth="1"/>
    <col min="5875" max="5875" width="11.75" style="102" customWidth="1"/>
    <col min="5876" max="5876" width="13.875" style="102" customWidth="1"/>
    <col min="5877" max="5877" width="8.75" style="102" customWidth="1"/>
    <col min="5878" max="5879" width="13.75" style="102" customWidth="1"/>
    <col min="5880" max="5880" width="5.125" style="102" customWidth="1"/>
    <col min="5881" max="5881" width="7.75" style="102" customWidth="1"/>
    <col min="5882" max="5882" width="13.625" style="102" bestFit="1" customWidth="1"/>
    <col min="5883" max="5883" width="9.25" style="102" bestFit="1" customWidth="1"/>
    <col min="5884" max="5884" width="12.375" style="102" customWidth="1"/>
    <col min="5885" max="5885" width="9.125" style="102" customWidth="1"/>
    <col min="5886" max="5888" width="9.625" style="102" customWidth="1"/>
    <col min="5889" max="5889" width="9.75" style="102" bestFit="1" customWidth="1"/>
    <col min="5890" max="5890" width="9.75" style="102" customWidth="1"/>
    <col min="5891" max="6129" width="11" style="102"/>
    <col min="6130" max="6130" width="15.875" style="102" customWidth="1"/>
    <col min="6131" max="6131" width="11.75" style="102" customWidth="1"/>
    <col min="6132" max="6132" width="13.875" style="102" customWidth="1"/>
    <col min="6133" max="6133" width="8.75" style="102" customWidth="1"/>
    <col min="6134" max="6135" width="13.75" style="102" customWidth="1"/>
    <col min="6136" max="6136" width="5.125" style="102" customWidth="1"/>
    <col min="6137" max="6137" width="7.75" style="102" customWidth="1"/>
    <col min="6138" max="6138" width="13.625" style="102" bestFit="1" customWidth="1"/>
    <col min="6139" max="6139" width="9.25" style="102" bestFit="1" customWidth="1"/>
    <col min="6140" max="6140" width="12.375" style="102" customWidth="1"/>
    <col min="6141" max="6141" width="9.125" style="102" customWidth="1"/>
    <col min="6142" max="6144" width="9.625" style="102" customWidth="1"/>
    <col min="6145" max="6145" width="9.75" style="102" bestFit="1" customWidth="1"/>
    <col min="6146" max="6146" width="9.75" style="102" customWidth="1"/>
    <col min="6147" max="6385" width="11" style="102"/>
    <col min="6386" max="6386" width="15.875" style="102" customWidth="1"/>
    <col min="6387" max="6387" width="11.75" style="102" customWidth="1"/>
    <col min="6388" max="6388" width="13.875" style="102" customWidth="1"/>
    <col min="6389" max="6389" width="8.75" style="102" customWidth="1"/>
    <col min="6390" max="6391" width="13.75" style="102" customWidth="1"/>
    <col min="6392" max="6392" width="5.125" style="102" customWidth="1"/>
    <col min="6393" max="6393" width="7.75" style="102" customWidth="1"/>
    <col min="6394" max="6394" width="13.625" style="102" bestFit="1" customWidth="1"/>
    <col min="6395" max="6395" width="9.25" style="102" bestFit="1" customWidth="1"/>
    <col min="6396" max="6396" width="12.375" style="102" customWidth="1"/>
    <col min="6397" max="6397" width="9.125" style="102" customWidth="1"/>
    <col min="6398" max="6400" width="9.625" style="102" customWidth="1"/>
    <col min="6401" max="6401" width="9.75" style="102" bestFit="1" customWidth="1"/>
    <col min="6402" max="6402" width="9.75" style="102" customWidth="1"/>
    <col min="6403" max="6641" width="11" style="102"/>
    <col min="6642" max="6642" width="15.875" style="102" customWidth="1"/>
    <col min="6643" max="6643" width="11.75" style="102" customWidth="1"/>
    <col min="6644" max="6644" width="13.875" style="102" customWidth="1"/>
    <col min="6645" max="6645" width="8.75" style="102" customWidth="1"/>
    <col min="6646" max="6647" width="13.75" style="102" customWidth="1"/>
    <col min="6648" max="6648" width="5.125" style="102" customWidth="1"/>
    <col min="6649" max="6649" width="7.75" style="102" customWidth="1"/>
    <col min="6650" max="6650" width="13.625" style="102" bestFit="1" customWidth="1"/>
    <col min="6651" max="6651" width="9.25" style="102" bestFit="1" customWidth="1"/>
    <col min="6652" max="6652" width="12.375" style="102" customWidth="1"/>
    <col min="6653" max="6653" width="9.125" style="102" customWidth="1"/>
    <col min="6654" max="6656" width="9.625" style="102" customWidth="1"/>
    <col min="6657" max="6657" width="9.75" style="102" bestFit="1" customWidth="1"/>
    <col min="6658" max="6658" width="9.75" style="102" customWidth="1"/>
    <col min="6659" max="6897" width="11" style="102"/>
    <col min="6898" max="6898" width="15.875" style="102" customWidth="1"/>
    <col min="6899" max="6899" width="11.75" style="102" customWidth="1"/>
    <col min="6900" max="6900" width="13.875" style="102" customWidth="1"/>
    <col min="6901" max="6901" width="8.75" style="102" customWidth="1"/>
    <col min="6902" max="6903" width="13.75" style="102" customWidth="1"/>
    <col min="6904" max="6904" width="5.125" style="102" customWidth="1"/>
    <col min="6905" max="6905" width="7.75" style="102" customWidth="1"/>
    <col min="6906" max="6906" width="13.625" style="102" bestFit="1" customWidth="1"/>
    <col min="6907" max="6907" width="9.25" style="102" bestFit="1" customWidth="1"/>
    <col min="6908" max="6908" width="12.375" style="102" customWidth="1"/>
    <col min="6909" max="6909" width="9.125" style="102" customWidth="1"/>
    <col min="6910" max="6912" width="9.625" style="102" customWidth="1"/>
    <col min="6913" max="6913" width="9.75" style="102" bestFit="1" customWidth="1"/>
    <col min="6914" max="6914" width="9.75" style="102" customWidth="1"/>
    <col min="6915" max="7153" width="11" style="102"/>
    <col min="7154" max="7154" width="15.875" style="102" customWidth="1"/>
    <col min="7155" max="7155" width="11.75" style="102" customWidth="1"/>
    <col min="7156" max="7156" width="13.875" style="102" customWidth="1"/>
    <col min="7157" max="7157" width="8.75" style="102" customWidth="1"/>
    <col min="7158" max="7159" width="13.75" style="102" customWidth="1"/>
    <col min="7160" max="7160" width="5.125" style="102" customWidth="1"/>
    <col min="7161" max="7161" width="7.75" style="102" customWidth="1"/>
    <col min="7162" max="7162" width="13.625" style="102" bestFit="1" customWidth="1"/>
    <col min="7163" max="7163" width="9.25" style="102" bestFit="1" customWidth="1"/>
    <col min="7164" max="7164" width="12.375" style="102" customWidth="1"/>
    <col min="7165" max="7165" width="9.125" style="102" customWidth="1"/>
    <col min="7166" max="7168" width="9.625" style="102" customWidth="1"/>
    <col min="7169" max="7169" width="9.75" style="102" bestFit="1" customWidth="1"/>
    <col min="7170" max="7170" width="9.75" style="102" customWidth="1"/>
    <col min="7171" max="7409" width="11" style="102"/>
    <col min="7410" max="7410" width="15.875" style="102" customWidth="1"/>
    <col min="7411" max="7411" width="11.75" style="102" customWidth="1"/>
    <col min="7412" max="7412" width="13.875" style="102" customWidth="1"/>
    <col min="7413" max="7413" width="8.75" style="102" customWidth="1"/>
    <col min="7414" max="7415" width="13.75" style="102" customWidth="1"/>
    <col min="7416" max="7416" width="5.125" style="102" customWidth="1"/>
    <col min="7417" max="7417" width="7.75" style="102" customWidth="1"/>
    <col min="7418" max="7418" width="13.625" style="102" bestFit="1" customWidth="1"/>
    <col min="7419" max="7419" width="9.25" style="102" bestFit="1" customWidth="1"/>
    <col min="7420" max="7420" width="12.375" style="102" customWidth="1"/>
    <col min="7421" max="7421" width="9.125" style="102" customWidth="1"/>
    <col min="7422" max="7424" width="9.625" style="102" customWidth="1"/>
    <col min="7425" max="7425" width="9.75" style="102" bestFit="1" customWidth="1"/>
    <col min="7426" max="7426" width="9.75" style="102" customWidth="1"/>
    <col min="7427" max="7665" width="11" style="102"/>
    <col min="7666" max="7666" width="15.875" style="102" customWidth="1"/>
    <col min="7667" max="7667" width="11.75" style="102" customWidth="1"/>
    <col min="7668" max="7668" width="13.875" style="102" customWidth="1"/>
    <col min="7669" max="7669" width="8.75" style="102" customWidth="1"/>
    <col min="7670" max="7671" width="13.75" style="102" customWidth="1"/>
    <col min="7672" max="7672" width="5.125" style="102" customWidth="1"/>
    <col min="7673" max="7673" width="7.75" style="102" customWidth="1"/>
    <col min="7674" max="7674" width="13.625" style="102" bestFit="1" customWidth="1"/>
    <col min="7675" max="7675" width="9.25" style="102" bestFit="1" customWidth="1"/>
    <col min="7676" max="7676" width="12.375" style="102" customWidth="1"/>
    <col min="7677" max="7677" width="9.125" style="102" customWidth="1"/>
    <col min="7678" max="7680" width="9.625" style="102" customWidth="1"/>
    <col min="7681" max="7681" width="9.75" style="102" bestFit="1" customWidth="1"/>
    <col min="7682" max="7682" width="9.75" style="102" customWidth="1"/>
    <col min="7683" max="7921" width="11" style="102"/>
    <col min="7922" max="7922" width="15.875" style="102" customWidth="1"/>
    <col min="7923" max="7923" width="11.75" style="102" customWidth="1"/>
    <col min="7924" max="7924" width="13.875" style="102" customWidth="1"/>
    <col min="7925" max="7925" width="8.75" style="102" customWidth="1"/>
    <col min="7926" max="7927" width="13.75" style="102" customWidth="1"/>
    <col min="7928" max="7928" width="5.125" style="102" customWidth="1"/>
    <col min="7929" max="7929" width="7.75" style="102" customWidth="1"/>
    <col min="7930" max="7930" width="13.625" style="102" bestFit="1" customWidth="1"/>
    <col min="7931" max="7931" width="9.25" style="102" bestFit="1" customWidth="1"/>
    <col min="7932" max="7932" width="12.375" style="102" customWidth="1"/>
    <col min="7933" max="7933" width="9.125" style="102" customWidth="1"/>
    <col min="7934" max="7936" width="9.625" style="102" customWidth="1"/>
    <col min="7937" max="7937" width="9.75" style="102" bestFit="1" customWidth="1"/>
    <col min="7938" max="7938" width="9.75" style="102" customWidth="1"/>
    <col min="7939" max="8177" width="11" style="102"/>
    <col min="8178" max="8178" width="15.875" style="102" customWidth="1"/>
    <col min="8179" max="8179" width="11.75" style="102" customWidth="1"/>
    <col min="8180" max="8180" width="13.875" style="102" customWidth="1"/>
    <col min="8181" max="8181" width="8.75" style="102" customWidth="1"/>
    <col min="8182" max="8183" width="13.75" style="102" customWidth="1"/>
    <col min="8184" max="8184" width="5.125" style="102" customWidth="1"/>
    <col min="8185" max="8185" width="7.75" style="102" customWidth="1"/>
    <col min="8186" max="8186" width="13.625" style="102" bestFit="1" customWidth="1"/>
    <col min="8187" max="8187" width="9.25" style="102" bestFit="1" customWidth="1"/>
    <col min="8188" max="8188" width="12.375" style="102" customWidth="1"/>
    <col min="8189" max="8189" width="9.125" style="102" customWidth="1"/>
    <col min="8190" max="8192" width="9.625" style="102" customWidth="1"/>
    <col min="8193" max="8193" width="9.75" style="102" bestFit="1" customWidth="1"/>
    <col min="8194" max="8194" width="9.75" style="102" customWidth="1"/>
    <col min="8195" max="8433" width="11" style="102"/>
    <col min="8434" max="8434" width="15.875" style="102" customWidth="1"/>
    <col min="8435" max="8435" width="11.75" style="102" customWidth="1"/>
    <col min="8436" max="8436" width="13.875" style="102" customWidth="1"/>
    <col min="8437" max="8437" width="8.75" style="102" customWidth="1"/>
    <col min="8438" max="8439" width="13.75" style="102" customWidth="1"/>
    <col min="8440" max="8440" width="5.125" style="102" customWidth="1"/>
    <col min="8441" max="8441" width="7.75" style="102" customWidth="1"/>
    <col min="8442" max="8442" width="13.625" style="102" bestFit="1" customWidth="1"/>
    <col min="8443" max="8443" width="9.25" style="102" bestFit="1" customWidth="1"/>
    <col min="8444" max="8444" width="12.375" style="102" customWidth="1"/>
    <col min="8445" max="8445" width="9.125" style="102" customWidth="1"/>
    <col min="8446" max="8448" width="9.625" style="102" customWidth="1"/>
    <col min="8449" max="8449" width="9.75" style="102" bestFit="1" customWidth="1"/>
    <col min="8450" max="8450" width="9.75" style="102" customWidth="1"/>
    <col min="8451" max="8689" width="11" style="102"/>
    <col min="8690" max="8690" width="15.875" style="102" customWidth="1"/>
    <col min="8691" max="8691" width="11.75" style="102" customWidth="1"/>
    <col min="8692" max="8692" width="13.875" style="102" customWidth="1"/>
    <col min="8693" max="8693" width="8.75" style="102" customWidth="1"/>
    <col min="8694" max="8695" width="13.75" style="102" customWidth="1"/>
    <col min="8696" max="8696" width="5.125" style="102" customWidth="1"/>
    <col min="8697" max="8697" width="7.75" style="102" customWidth="1"/>
    <col min="8698" max="8698" width="13.625" style="102" bestFit="1" customWidth="1"/>
    <col min="8699" max="8699" width="9.25" style="102" bestFit="1" customWidth="1"/>
    <col min="8700" max="8700" width="12.375" style="102" customWidth="1"/>
    <col min="8701" max="8701" width="9.125" style="102" customWidth="1"/>
    <col min="8702" max="8704" width="9.625" style="102" customWidth="1"/>
    <col min="8705" max="8705" width="9.75" style="102" bestFit="1" customWidth="1"/>
    <col min="8706" max="8706" width="9.75" style="102" customWidth="1"/>
    <col min="8707" max="8945" width="11" style="102"/>
    <col min="8946" max="8946" width="15.875" style="102" customWidth="1"/>
    <col min="8947" max="8947" width="11.75" style="102" customWidth="1"/>
    <col min="8948" max="8948" width="13.875" style="102" customWidth="1"/>
    <col min="8949" max="8949" width="8.75" style="102" customWidth="1"/>
    <col min="8950" max="8951" width="13.75" style="102" customWidth="1"/>
    <col min="8952" max="8952" width="5.125" style="102" customWidth="1"/>
    <col min="8953" max="8953" width="7.75" style="102" customWidth="1"/>
    <col min="8954" max="8954" width="13.625" style="102" bestFit="1" customWidth="1"/>
    <col min="8955" max="8955" width="9.25" style="102" bestFit="1" customWidth="1"/>
    <col min="8956" max="8956" width="12.375" style="102" customWidth="1"/>
    <col min="8957" max="8957" width="9.125" style="102" customWidth="1"/>
    <col min="8958" max="8960" width="9.625" style="102" customWidth="1"/>
    <col min="8961" max="8961" width="9.75" style="102" bestFit="1" customWidth="1"/>
    <col min="8962" max="8962" width="9.75" style="102" customWidth="1"/>
    <col min="8963" max="9201" width="11" style="102"/>
    <col min="9202" max="9202" width="15.875" style="102" customWidth="1"/>
    <col min="9203" max="9203" width="11.75" style="102" customWidth="1"/>
    <col min="9204" max="9204" width="13.875" style="102" customWidth="1"/>
    <col min="9205" max="9205" width="8.75" style="102" customWidth="1"/>
    <col min="9206" max="9207" width="13.75" style="102" customWidth="1"/>
    <col min="9208" max="9208" width="5.125" style="102" customWidth="1"/>
    <col min="9209" max="9209" width="7.75" style="102" customWidth="1"/>
    <col min="9210" max="9210" width="13.625" style="102" bestFit="1" customWidth="1"/>
    <col min="9211" max="9211" width="9.25" style="102" bestFit="1" customWidth="1"/>
    <col min="9212" max="9212" width="12.375" style="102" customWidth="1"/>
    <col min="9213" max="9213" width="9.125" style="102" customWidth="1"/>
    <col min="9214" max="9216" width="9.625" style="102" customWidth="1"/>
    <col min="9217" max="9217" width="9.75" style="102" bestFit="1" customWidth="1"/>
    <col min="9218" max="9218" width="9.75" style="102" customWidth="1"/>
    <col min="9219" max="9457" width="11" style="102"/>
    <col min="9458" max="9458" width="15.875" style="102" customWidth="1"/>
    <col min="9459" max="9459" width="11.75" style="102" customWidth="1"/>
    <col min="9460" max="9460" width="13.875" style="102" customWidth="1"/>
    <col min="9461" max="9461" width="8.75" style="102" customWidth="1"/>
    <col min="9462" max="9463" width="13.75" style="102" customWidth="1"/>
    <col min="9464" max="9464" width="5.125" style="102" customWidth="1"/>
    <col min="9465" max="9465" width="7.75" style="102" customWidth="1"/>
    <col min="9466" max="9466" width="13.625" style="102" bestFit="1" customWidth="1"/>
    <col min="9467" max="9467" width="9.25" style="102" bestFit="1" customWidth="1"/>
    <col min="9468" max="9468" width="12.375" style="102" customWidth="1"/>
    <col min="9469" max="9469" width="9.125" style="102" customWidth="1"/>
    <col min="9470" max="9472" width="9.625" style="102" customWidth="1"/>
    <col min="9473" max="9473" width="9.75" style="102" bestFit="1" customWidth="1"/>
    <col min="9474" max="9474" width="9.75" style="102" customWidth="1"/>
    <col min="9475" max="9713" width="11" style="102"/>
    <col min="9714" max="9714" width="15.875" style="102" customWidth="1"/>
    <col min="9715" max="9715" width="11.75" style="102" customWidth="1"/>
    <col min="9716" max="9716" width="13.875" style="102" customWidth="1"/>
    <col min="9717" max="9717" width="8.75" style="102" customWidth="1"/>
    <col min="9718" max="9719" width="13.75" style="102" customWidth="1"/>
    <col min="9720" max="9720" width="5.125" style="102" customWidth="1"/>
    <col min="9721" max="9721" width="7.75" style="102" customWidth="1"/>
    <col min="9722" max="9722" width="13.625" style="102" bestFit="1" customWidth="1"/>
    <col min="9723" max="9723" width="9.25" style="102" bestFit="1" customWidth="1"/>
    <col min="9724" max="9724" width="12.375" style="102" customWidth="1"/>
    <col min="9725" max="9725" width="9.125" style="102" customWidth="1"/>
    <col min="9726" max="9728" width="9.625" style="102" customWidth="1"/>
    <col min="9729" max="9729" width="9.75" style="102" bestFit="1" customWidth="1"/>
    <col min="9730" max="9730" width="9.75" style="102" customWidth="1"/>
    <col min="9731" max="9969" width="11" style="102"/>
    <col min="9970" max="9970" width="15.875" style="102" customWidth="1"/>
    <col min="9971" max="9971" width="11.75" style="102" customWidth="1"/>
    <col min="9972" max="9972" width="13.875" style="102" customWidth="1"/>
    <col min="9973" max="9973" width="8.75" style="102" customWidth="1"/>
    <col min="9974" max="9975" width="13.75" style="102" customWidth="1"/>
    <col min="9976" max="9976" width="5.125" style="102" customWidth="1"/>
    <col min="9977" max="9977" width="7.75" style="102" customWidth="1"/>
    <col min="9978" max="9978" width="13.625" style="102" bestFit="1" customWidth="1"/>
    <col min="9979" max="9979" width="9.25" style="102" bestFit="1" customWidth="1"/>
    <col min="9980" max="9980" width="12.375" style="102" customWidth="1"/>
    <col min="9981" max="9981" width="9.125" style="102" customWidth="1"/>
    <col min="9982" max="9984" width="9.625" style="102" customWidth="1"/>
    <col min="9985" max="9985" width="9.75" style="102" bestFit="1" customWidth="1"/>
    <col min="9986" max="9986" width="9.75" style="102" customWidth="1"/>
    <col min="9987" max="10225" width="11" style="102"/>
    <col min="10226" max="10226" width="15.875" style="102" customWidth="1"/>
    <col min="10227" max="10227" width="11.75" style="102" customWidth="1"/>
    <col min="10228" max="10228" width="13.875" style="102" customWidth="1"/>
    <col min="10229" max="10229" width="8.75" style="102" customWidth="1"/>
    <col min="10230" max="10231" width="13.75" style="102" customWidth="1"/>
    <col min="10232" max="10232" width="5.125" style="102" customWidth="1"/>
    <col min="10233" max="10233" width="7.75" style="102" customWidth="1"/>
    <col min="10234" max="10234" width="13.625" style="102" bestFit="1" customWidth="1"/>
    <col min="10235" max="10235" width="9.25" style="102" bestFit="1" customWidth="1"/>
    <col min="10236" max="10236" width="12.375" style="102" customWidth="1"/>
    <col min="10237" max="10237" width="9.125" style="102" customWidth="1"/>
    <col min="10238" max="10240" width="9.625" style="102" customWidth="1"/>
    <col min="10241" max="10241" width="9.75" style="102" bestFit="1" customWidth="1"/>
    <col min="10242" max="10242" width="9.75" style="102" customWidth="1"/>
    <col min="10243" max="10481" width="11" style="102"/>
    <col min="10482" max="10482" width="15.875" style="102" customWidth="1"/>
    <col min="10483" max="10483" width="11.75" style="102" customWidth="1"/>
    <col min="10484" max="10484" width="13.875" style="102" customWidth="1"/>
    <col min="10485" max="10485" width="8.75" style="102" customWidth="1"/>
    <col min="10486" max="10487" width="13.75" style="102" customWidth="1"/>
    <col min="10488" max="10488" width="5.125" style="102" customWidth="1"/>
    <col min="10489" max="10489" width="7.75" style="102" customWidth="1"/>
    <col min="10490" max="10490" width="13.625" style="102" bestFit="1" customWidth="1"/>
    <col min="10491" max="10491" width="9.25" style="102" bestFit="1" customWidth="1"/>
    <col min="10492" max="10492" width="12.375" style="102" customWidth="1"/>
    <col min="10493" max="10493" width="9.125" style="102" customWidth="1"/>
    <col min="10494" max="10496" width="9.625" style="102" customWidth="1"/>
    <col min="10497" max="10497" width="9.75" style="102" bestFit="1" customWidth="1"/>
    <col min="10498" max="10498" width="9.75" style="102" customWidth="1"/>
    <col min="10499" max="10737" width="11" style="102"/>
    <col min="10738" max="10738" width="15.875" style="102" customWidth="1"/>
    <col min="10739" max="10739" width="11.75" style="102" customWidth="1"/>
    <col min="10740" max="10740" width="13.875" style="102" customWidth="1"/>
    <col min="10741" max="10741" width="8.75" style="102" customWidth="1"/>
    <col min="10742" max="10743" width="13.75" style="102" customWidth="1"/>
    <col min="10744" max="10744" width="5.125" style="102" customWidth="1"/>
    <col min="10745" max="10745" width="7.75" style="102" customWidth="1"/>
    <col min="10746" max="10746" width="13.625" style="102" bestFit="1" customWidth="1"/>
    <col min="10747" max="10747" width="9.25" style="102" bestFit="1" customWidth="1"/>
    <col min="10748" max="10748" width="12.375" style="102" customWidth="1"/>
    <col min="10749" max="10749" width="9.125" style="102" customWidth="1"/>
    <col min="10750" max="10752" width="9.625" style="102" customWidth="1"/>
    <col min="10753" max="10753" width="9.75" style="102" bestFit="1" customWidth="1"/>
    <col min="10754" max="10754" width="9.75" style="102" customWidth="1"/>
    <col min="10755" max="10993" width="11" style="102"/>
    <col min="10994" max="10994" width="15.875" style="102" customWidth="1"/>
    <col min="10995" max="10995" width="11.75" style="102" customWidth="1"/>
    <col min="10996" max="10996" width="13.875" style="102" customWidth="1"/>
    <col min="10997" max="10997" width="8.75" style="102" customWidth="1"/>
    <col min="10998" max="10999" width="13.75" style="102" customWidth="1"/>
    <col min="11000" max="11000" width="5.125" style="102" customWidth="1"/>
    <col min="11001" max="11001" width="7.75" style="102" customWidth="1"/>
    <col min="11002" max="11002" width="13.625" style="102" bestFit="1" customWidth="1"/>
    <col min="11003" max="11003" width="9.25" style="102" bestFit="1" customWidth="1"/>
    <col min="11004" max="11004" width="12.375" style="102" customWidth="1"/>
    <col min="11005" max="11005" width="9.125" style="102" customWidth="1"/>
    <col min="11006" max="11008" width="9.625" style="102" customWidth="1"/>
    <col min="11009" max="11009" width="9.75" style="102" bestFit="1" customWidth="1"/>
    <col min="11010" max="11010" width="9.75" style="102" customWidth="1"/>
    <col min="11011" max="11249" width="11" style="102"/>
    <col min="11250" max="11250" width="15.875" style="102" customWidth="1"/>
    <col min="11251" max="11251" width="11.75" style="102" customWidth="1"/>
    <col min="11252" max="11252" width="13.875" style="102" customWidth="1"/>
    <col min="11253" max="11253" width="8.75" style="102" customWidth="1"/>
    <col min="11254" max="11255" width="13.75" style="102" customWidth="1"/>
    <col min="11256" max="11256" width="5.125" style="102" customWidth="1"/>
    <col min="11257" max="11257" width="7.75" style="102" customWidth="1"/>
    <col min="11258" max="11258" width="13.625" style="102" bestFit="1" customWidth="1"/>
    <col min="11259" max="11259" width="9.25" style="102" bestFit="1" customWidth="1"/>
    <col min="11260" max="11260" width="12.375" style="102" customWidth="1"/>
    <col min="11261" max="11261" width="9.125" style="102" customWidth="1"/>
    <col min="11262" max="11264" width="9.625" style="102" customWidth="1"/>
    <col min="11265" max="11265" width="9.75" style="102" bestFit="1" customWidth="1"/>
    <col min="11266" max="11266" width="9.75" style="102" customWidth="1"/>
    <col min="11267" max="11505" width="11" style="102"/>
    <col min="11506" max="11506" width="15.875" style="102" customWidth="1"/>
    <col min="11507" max="11507" width="11.75" style="102" customWidth="1"/>
    <col min="11508" max="11508" width="13.875" style="102" customWidth="1"/>
    <col min="11509" max="11509" width="8.75" style="102" customWidth="1"/>
    <col min="11510" max="11511" width="13.75" style="102" customWidth="1"/>
    <col min="11512" max="11512" width="5.125" style="102" customWidth="1"/>
    <col min="11513" max="11513" width="7.75" style="102" customWidth="1"/>
    <col min="11514" max="11514" width="13.625" style="102" bestFit="1" customWidth="1"/>
    <col min="11515" max="11515" width="9.25" style="102" bestFit="1" customWidth="1"/>
    <col min="11516" max="11516" width="12.375" style="102" customWidth="1"/>
    <col min="11517" max="11517" width="9.125" style="102" customWidth="1"/>
    <col min="11518" max="11520" width="9.625" style="102" customWidth="1"/>
    <col min="11521" max="11521" width="9.75" style="102" bestFit="1" customWidth="1"/>
    <col min="11522" max="11522" width="9.75" style="102" customWidth="1"/>
    <col min="11523" max="11761" width="11" style="102"/>
    <col min="11762" max="11762" width="15.875" style="102" customWidth="1"/>
    <col min="11763" max="11763" width="11.75" style="102" customWidth="1"/>
    <col min="11764" max="11764" width="13.875" style="102" customWidth="1"/>
    <col min="11765" max="11765" width="8.75" style="102" customWidth="1"/>
    <col min="11766" max="11767" width="13.75" style="102" customWidth="1"/>
    <col min="11768" max="11768" width="5.125" style="102" customWidth="1"/>
    <col min="11769" max="11769" width="7.75" style="102" customWidth="1"/>
    <col min="11770" max="11770" width="13.625" style="102" bestFit="1" customWidth="1"/>
    <col min="11771" max="11771" width="9.25" style="102" bestFit="1" customWidth="1"/>
    <col min="11772" max="11772" width="12.375" style="102" customWidth="1"/>
    <col min="11773" max="11773" width="9.125" style="102" customWidth="1"/>
    <col min="11774" max="11776" width="9.625" style="102" customWidth="1"/>
    <col min="11777" max="11777" width="9.75" style="102" bestFit="1" customWidth="1"/>
    <col min="11778" max="11778" width="9.75" style="102" customWidth="1"/>
    <col min="11779" max="12017" width="11" style="102"/>
    <col min="12018" max="12018" width="15.875" style="102" customWidth="1"/>
    <col min="12019" max="12019" width="11.75" style="102" customWidth="1"/>
    <col min="12020" max="12020" width="13.875" style="102" customWidth="1"/>
    <col min="12021" max="12021" width="8.75" style="102" customWidth="1"/>
    <col min="12022" max="12023" width="13.75" style="102" customWidth="1"/>
    <col min="12024" max="12024" width="5.125" style="102" customWidth="1"/>
    <col min="12025" max="12025" width="7.75" style="102" customWidth="1"/>
    <col min="12026" max="12026" width="13.625" style="102" bestFit="1" customWidth="1"/>
    <col min="12027" max="12027" width="9.25" style="102" bestFit="1" customWidth="1"/>
    <col min="12028" max="12028" width="12.375" style="102" customWidth="1"/>
    <col min="12029" max="12029" width="9.125" style="102" customWidth="1"/>
    <col min="12030" max="12032" width="9.625" style="102" customWidth="1"/>
    <col min="12033" max="12033" width="9.75" style="102" bestFit="1" customWidth="1"/>
    <col min="12034" max="12034" width="9.75" style="102" customWidth="1"/>
    <col min="12035" max="12273" width="11" style="102"/>
    <col min="12274" max="12274" width="15.875" style="102" customWidth="1"/>
    <col min="12275" max="12275" width="11.75" style="102" customWidth="1"/>
    <col min="12276" max="12276" width="13.875" style="102" customWidth="1"/>
    <col min="12277" max="12277" width="8.75" style="102" customWidth="1"/>
    <col min="12278" max="12279" width="13.75" style="102" customWidth="1"/>
    <col min="12280" max="12280" width="5.125" style="102" customWidth="1"/>
    <col min="12281" max="12281" width="7.75" style="102" customWidth="1"/>
    <col min="12282" max="12282" width="13.625" style="102" bestFit="1" customWidth="1"/>
    <col min="12283" max="12283" width="9.25" style="102" bestFit="1" customWidth="1"/>
    <col min="12284" max="12284" width="12.375" style="102" customWidth="1"/>
    <col min="12285" max="12285" width="9.125" style="102" customWidth="1"/>
    <col min="12286" max="12288" width="9.625" style="102" customWidth="1"/>
    <col min="12289" max="12289" width="9.75" style="102" bestFit="1" customWidth="1"/>
    <col min="12290" max="12290" width="9.75" style="102" customWidth="1"/>
    <col min="12291" max="12529" width="11" style="102"/>
    <col min="12530" max="12530" width="15.875" style="102" customWidth="1"/>
    <col min="12531" max="12531" width="11.75" style="102" customWidth="1"/>
    <col min="12532" max="12532" width="13.875" style="102" customWidth="1"/>
    <col min="12533" max="12533" width="8.75" style="102" customWidth="1"/>
    <col min="12534" max="12535" width="13.75" style="102" customWidth="1"/>
    <col min="12536" max="12536" width="5.125" style="102" customWidth="1"/>
    <col min="12537" max="12537" width="7.75" style="102" customWidth="1"/>
    <col min="12538" max="12538" width="13.625" style="102" bestFit="1" customWidth="1"/>
    <col min="12539" max="12539" width="9.25" style="102" bestFit="1" customWidth="1"/>
    <col min="12540" max="12540" width="12.375" style="102" customWidth="1"/>
    <col min="12541" max="12541" width="9.125" style="102" customWidth="1"/>
    <col min="12542" max="12544" width="9.625" style="102" customWidth="1"/>
    <col min="12545" max="12545" width="9.75" style="102" bestFit="1" customWidth="1"/>
    <col min="12546" max="12546" width="9.75" style="102" customWidth="1"/>
    <col min="12547" max="12785" width="11" style="102"/>
    <col min="12786" max="12786" width="15.875" style="102" customWidth="1"/>
    <col min="12787" max="12787" width="11.75" style="102" customWidth="1"/>
    <col min="12788" max="12788" width="13.875" style="102" customWidth="1"/>
    <col min="12789" max="12789" width="8.75" style="102" customWidth="1"/>
    <col min="12790" max="12791" width="13.75" style="102" customWidth="1"/>
    <col min="12792" max="12792" width="5.125" style="102" customWidth="1"/>
    <col min="12793" max="12793" width="7.75" style="102" customWidth="1"/>
    <col min="12794" max="12794" width="13.625" style="102" bestFit="1" customWidth="1"/>
    <col min="12795" max="12795" width="9.25" style="102" bestFit="1" customWidth="1"/>
    <col min="12796" max="12796" width="12.375" style="102" customWidth="1"/>
    <col min="12797" max="12797" width="9.125" style="102" customWidth="1"/>
    <col min="12798" max="12800" width="9.625" style="102" customWidth="1"/>
    <col min="12801" max="12801" width="9.75" style="102" bestFit="1" customWidth="1"/>
    <col min="12802" max="12802" width="9.75" style="102" customWidth="1"/>
    <col min="12803" max="13041" width="11" style="102"/>
    <col min="13042" max="13042" width="15.875" style="102" customWidth="1"/>
    <col min="13043" max="13043" width="11.75" style="102" customWidth="1"/>
    <col min="13044" max="13044" width="13.875" style="102" customWidth="1"/>
    <col min="13045" max="13045" width="8.75" style="102" customWidth="1"/>
    <col min="13046" max="13047" width="13.75" style="102" customWidth="1"/>
    <col min="13048" max="13048" width="5.125" style="102" customWidth="1"/>
    <col min="13049" max="13049" width="7.75" style="102" customWidth="1"/>
    <col min="13050" max="13050" width="13.625" style="102" bestFit="1" customWidth="1"/>
    <col min="13051" max="13051" width="9.25" style="102" bestFit="1" customWidth="1"/>
    <col min="13052" max="13052" width="12.375" style="102" customWidth="1"/>
    <col min="13053" max="13053" width="9.125" style="102" customWidth="1"/>
    <col min="13054" max="13056" width="9.625" style="102" customWidth="1"/>
    <col min="13057" max="13057" width="9.75" style="102" bestFit="1" customWidth="1"/>
    <col min="13058" max="13058" width="9.75" style="102" customWidth="1"/>
    <col min="13059" max="13297" width="11" style="102"/>
    <col min="13298" max="13298" width="15.875" style="102" customWidth="1"/>
    <col min="13299" max="13299" width="11.75" style="102" customWidth="1"/>
    <col min="13300" max="13300" width="13.875" style="102" customWidth="1"/>
    <col min="13301" max="13301" width="8.75" style="102" customWidth="1"/>
    <col min="13302" max="13303" width="13.75" style="102" customWidth="1"/>
    <col min="13304" max="13304" width="5.125" style="102" customWidth="1"/>
    <col min="13305" max="13305" width="7.75" style="102" customWidth="1"/>
    <col min="13306" max="13306" width="13.625" style="102" bestFit="1" customWidth="1"/>
    <col min="13307" max="13307" width="9.25" style="102" bestFit="1" customWidth="1"/>
    <col min="13308" max="13308" width="12.375" style="102" customWidth="1"/>
    <col min="13309" max="13309" width="9.125" style="102" customWidth="1"/>
    <col min="13310" max="13312" width="9.625" style="102" customWidth="1"/>
    <col min="13313" max="13313" width="9.75" style="102" bestFit="1" customWidth="1"/>
    <col min="13314" max="13314" width="9.75" style="102" customWidth="1"/>
    <col min="13315" max="13553" width="11" style="102"/>
    <col min="13554" max="13554" width="15.875" style="102" customWidth="1"/>
    <col min="13555" max="13555" width="11.75" style="102" customWidth="1"/>
    <col min="13556" max="13556" width="13.875" style="102" customWidth="1"/>
    <col min="13557" max="13557" width="8.75" style="102" customWidth="1"/>
    <col min="13558" max="13559" width="13.75" style="102" customWidth="1"/>
    <col min="13560" max="13560" width="5.125" style="102" customWidth="1"/>
    <col min="13561" max="13561" width="7.75" style="102" customWidth="1"/>
    <col min="13562" max="13562" width="13.625" style="102" bestFit="1" customWidth="1"/>
    <col min="13563" max="13563" width="9.25" style="102" bestFit="1" customWidth="1"/>
    <col min="13564" max="13564" width="12.375" style="102" customWidth="1"/>
    <col min="13565" max="13565" width="9.125" style="102" customWidth="1"/>
    <col min="13566" max="13568" width="9.625" style="102" customWidth="1"/>
    <col min="13569" max="13569" width="9.75" style="102" bestFit="1" customWidth="1"/>
    <col min="13570" max="13570" width="9.75" style="102" customWidth="1"/>
    <col min="13571" max="13809" width="11" style="102"/>
    <col min="13810" max="13810" width="15.875" style="102" customWidth="1"/>
    <col min="13811" max="13811" width="11.75" style="102" customWidth="1"/>
    <col min="13812" max="13812" width="13.875" style="102" customWidth="1"/>
    <col min="13813" max="13813" width="8.75" style="102" customWidth="1"/>
    <col min="13814" max="13815" width="13.75" style="102" customWidth="1"/>
    <col min="13816" max="13816" width="5.125" style="102" customWidth="1"/>
    <col min="13817" max="13817" width="7.75" style="102" customWidth="1"/>
    <col min="13818" max="13818" width="13.625" style="102" bestFit="1" customWidth="1"/>
    <col min="13819" max="13819" width="9.25" style="102" bestFit="1" customWidth="1"/>
    <col min="13820" max="13820" width="12.375" style="102" customWidth="1"/>
    <col min="13821" max="13821" width="9.125" style="102" customWidth="1"/>
    <col min="13822" max="13824" width="9.625" style="102" customWidth="1"/>
    <col min="13825" max="13825" width="9.75" style="102" bestFit="1" customWidth="1"/>
    <col min="13826" max="13826" width="9.75" style="102" customWidth="1"/>
    <col min="13827" max="14065" width="11" style="102"/>
    <col min="14066" max="14066" width="15.875" style="102" customWidth="1"/>
    <col min="14067" max="14067" width="11.75" style="102" customWidth="1"/>
    <col min="14068" max="14068" width="13.875" style="102" customWidth="1"/>
    <col min="14069" max="14069" width="8.75" style="102" customWidth="1"/>
    <col min="14070" max="14071" width="13.75" style="102" customWidth="1"/>
    <col min="14072" max="14072" width="5.125" style="102" customWidth="1"/>
    <col min="14073" max="14073" width="7.75" style="102" customWidth="1"/>
    <col min="14074" max="14074" width="13.625" style="102" bestFit="1" customWidth="1"/>
    <col min="14075" max="14075" width="9.25" style="102" bestFit="1" customWidth="1"/>
    <col min="14076" max="14076" width="12.375" style="102" customWidth="1"/>
    <col min="14077" max="14077" width="9.125" style="102" customWidth="1"/>
    <col min="14078" max="14080" width="9.625" style="102" customWidth="1"/>
    <col min="14081" max="14081" width="9.75" style="102" bestFit="1" customWidth="1"/>
    <col min="14082" max="14082" width="9.75" style="102" customWidth="1"/>
    <col min="14083" max="14321" width="11" style="102"/>
    <col min="14322" max="14322" width="15.875" style="102" customWidth="1"/>
    <col min="14323" max="14323" width="11.75" style="102" customWidth="1"/>
    <col min="14324" max="14324" width="13.875" style="102" customWidth="1"/>
    <col min="14325" max="14325" width="8.75" style="102" customWidth="1"/>
    <col min="14326" max="14327" width="13.75" style="102" customWidth="1"/>
    <col min="14328" max="14328" width="5.125" style="102" customWidth="1"/>
    <col min="14329" max="14329" width="7.75" style="102" customWidth="1"/>
    <col min="14330" max="14330" width="13.625" style="102" bestFit="1" customWidth="1"/>
    <col min="14331" max="14331" width="9.25" style="102" bestFit="1" customWidth="1"/>
    <col min="14332" max="14332" width="12.375" style="102" customWidth="1"/>
    <col min="14333" max="14333" width="9.125" style="102" customWidth="1"/>
    <col min="14334" max="14336" width="9.625" style="102" customWidth="1"/>
    <col min="14337" max="14337" width="9.75" style="102" bestFit="1" customWidth="1"/>
    <col min="14338" max="14338" width="9.75" style="102" customWidth="1"/>
    <col min="14339" max="14577" width="11" style="102"/>
    <col min="14578" max="14578" width="15.875" style="102" customWidth="1"/>
    <col min="14579" max="14579" width="11.75" style="102" customWidth="1"/>
    <col min="14580" max="14580" width="13.875" style="102" customWidth="1"/>
    <col min="14581" max="14581" width="8.75" style="102" customWidth="1"/>
    <col min="14582" max="14583" width="13.75" style="102" customWidth="1"/>
    <col min="14584" max="14584" width="5.125" style="102" customWidth="1"/>
    <col min="14585" max="14585" width="7.75" style="102" customWidth="1"/>
    <col min="14586" max="14586" width="13.625" style="102" bestFit="1" customWidth="1"/>
    <col min="14587" max="14587" width="9.25" style="102" bestFit="1" customWidth="1"/>
    <col min="14588" max="14588" width="12.375" style="102" customWidth="1"/>
    <col min="14589" max="14589" width="9.125" style="102" customWidth="1"/>
    <col min="14590" max="14592" width="9.625" style="102" customWidth="1"/>
    <col min="14593" max="14593" width="9.75" style="102" bestFit="1" customWidth="1"/>
    <col min="14594" max="14594" width="9.75" style="102" customWidth="1"/>
    <col min="14595" max="14833" width="11" style="102"/>
    <col min="14834" max="14834" width="15.875" style="102" customWidth="1"/>
    <col min="14835" max="14835" width="11.75" style="102" customWidth="1"/>
    <col min="14836" max="14836" width="13.875" style="102" customWidth="1"/>
    <col min="14837" max="14837" width="8.75" style="102" customWidth="1"/>
    <col min="14838" max="14839" width="13.75" style="102" customWidth="1"/>
    <col min="14840" max="14840" width="5.125" style="102" customWidth="1"/>
    <col min="14841" max="14841" width="7.75" style="102" customWidth="1"/>
    <col min="14842" max="14842" width="13.625" style="102" bestFit="1" customWidth="1"/>
    <col min="14843" max="14843" width="9.25" style="102" bestFit="1" customWidth="1"/>
    <col min="14844" max="14844" width="12.375" style="102" customWidth="1"/>
    <col min="14845" max="14845" width="9.125" style="102" customWidth="1"/>
    <col min="14846" max="14848" width="9.625" style="102" customWidth="1"/>
    <col min="14849" max="14849" width="9.75" style="102" bestFit="1" customWidth="1"/>
    <col min="14850" max="14850" width="9.75" style="102" customWidth="1"/>
    <col min="14851" max="15089" width="11" style="102"/>
    <col min="15090" max="15090" width="15.875" style="102" customWidth="1"/>
    <col min="15091" max="15091" width="11.75" style="102" customWidth="1"/>
    <col min="15092" max="15092" width="13.875" style="102" customWidth="1"/>
    <col min="15093" max="15093" width="8.75" style="102" customWidth="1"/>
    <col min="15094" max="15095" width="13.75" style="102" customWidth="1"/>
    <col min="15096" max="15096" width="5.125" style="102" customWidth="1"/>
    <col min="15097" max="15097" width="7.75" style="102" customWidth="1"/>
    <col min="15098" max="15098" width="13.625" style="102" bestFit="1" customWidth="1"/>
    <col min="15099" max="15099" width="9.25" style="102" bestFit="1" customWidth="1"/>
    <col min="15100" max="15100" width="12.375" style="102" customWidth="1"/>
    <col min="15101" max="15101" width="9.125" style="102" customWidth="1"/>
    <col min="15102" max="15104" width="9.625" style="102" customWidth="1"/>
    <col min="15105" max="15105" width="9.75" style="102" bestFit="1" customWidth="1"/>
    <col min="15106" max="15106" width="9.75" style="102" customWidth="1"/>
    <col min="15107" max="15345" width="11" style="102"/>
    <col min="15346" max="15346" width="15.875" style="102" customWidth="1"/>
    <col min="15347" max="15347" width="11.75" style="102" customWidth="1"/>
    <col min="15348" max="15348" width="13.875" style="102" customWidth="1"/>
    <col min="15349" max="15349" width="8.75" style="102" customWidth="1"/>
    <col min="15350" max="15351" width="13.75" style="102" customWidth="1"/>
    <col min="15352" max="15352" width="5.125" style="102" customWidth="1"/>
    <col min="15353" max="15353" width="7.75" style="102" customWidth="1"/>
    <col min="15354" max="15354" width="13.625" style="102" bestFit="1" customWidth="1"/>
    <col min="15355" max="15355" width="9.25" style="102" bestFit="1" customWidth="1"/>
    <col min="15356" max="15356" width="12.375" style="102" customWidth="1"/>
    <col min="15357" max="15357" width="9.125" style="102" customWidth="1"/>
    <col min="15358" max="15360" width="9.625" style="102" customWidth="1"/>
    <col min="15361" max="15361" width="9.75" style="102" bestFit="1" customWidth="1"/>
    <col min="15362" max="15362" width="9.75" style="102" customWidth="1"/>
    <col min="15363" max="15601" width="11" style="102"/>
    <col min="15602" max="15602" width="15.875" style="102" customWidth="1"/>
    <col min="15603" max="15603" width="11.75" style="102" customWidth="1"/>
    <col min="15604" max="15604" width="13.875" style="102" customWidth="1"/>
    <col min="15605" max="15605" width="8.75" style="102" customWidth="1"/>
    <col min="15606" max="15607" width="13.75" style="102" customWidth="1"/>
    <col min="15608" max="15608" width="5.125" style="102" customWidth="1"/>
    <col min="15609" max="15609" width="7.75" style="102" customWidth="1"/>
    <col min="15610" max="15610" width="13.625" style="102" bestFit="1" customWidth="1"/>
    <col min="15611" max="15611" width="9.25" style="102" bestFit="1" customWidth="1"/>
    <col min="15612" max="15612" width="12.375" style="102" customWidth="1"/>
    <col min="15613" max="15613" width="9.125" style="102" customWidth="1"/>
    <col min="15614" max="15616" width="9.625" style="102" customWidth="1"/>
    <col min="15617" max="15617" width="9.75" style="102" bestFit="1" customWidth="1"/>
    <col min="15618" max="15618" width="9.75" style="102" customWidth="1"/>
    <col min="15619" max="15857" width="11" style="102"/>
    <col min="15858" max="15858" width="15.875" style="102" customWidth="1"/>
    <col min="15859" max="15859" width="11.75" style="102" customWidth="1"/>
    <col min="15860" max="15860" width="13.875" style="102" customWidth="1"/>
    <col min="15861" max="15861" width="8.75" style="102" customWidth="1"/>
    <col min="15862" max="15863" width="13.75" style="102" customWidth="1"/>
    <col min="15864" max="15864" width="5.125" style="102" customWidth="1"/>
    <col min="15865" max="15865" width="7.75" style="102" customWidth="1"/>
    <col min="15866" max="15866" width="13.625" style="102" bestFit="1" customWidth="1"/>
    <col min="15867" max="15867" width="9.25" style="102" bestFit="1" customWidth="1"/>
    <col min="15868" max="15868" width="12.375" style="102" customWidth="1"/>
    <col min="15869" max="15869" width="9.125" style="102" customWidth="1"/>
    <col min="15870" max="15872" width="9.625" style="102" customWidth="1"/>
    <col min="15873" max="15873" width="9.75" style="102" bestFit="1" customWidth="1"/>
    <col min="15874" max="15874" width="9.75" style="102" customWidth="1"/>
    <col min="15875" max="16113" width="11" style="102"/>
    <col min="16114" max="16114" width="15.875" style="102" customWidth="1"/>
    <col min="16115" max="16115" width="11.75" style="102" customWidth="1"/>
    <col min="16116" max="16116" width="13.875" style="102" customWidth="1"/>
    <col min="16117" max="16117" width="8.75" style="102" customWidth="1"/>
    <col min="16118" max="16119" width="13.75" style="102" customWidth="1"/>
    <col min="16120" max="16120" width="5.125" style="102" customWidth="1"/>
    <col min="16121" max="16121" width="7.75" style="102" customWidth="1"/>
    <col min="16122" max="16122" width="13.625" style="102" bestFit="1" customWidth="1"/>
    <col min="16123" max="16123" width="9.25" style="102" bestFit="1" customWidth="1"/>
    <col min="16124" max="16124" width="12.375" style="102" customWidth="1"/>
    <col min="16125" max="16125" width="9.125" style="102" customWidth="1"/>
    <col min="16126" max="16128" width="9.625" style="102" customWidth="1"/>
    <col min="16129" max="16129" width="9.75" style="102" bestFit="1" customWidth="1"/>
    <col min="16130" max="16130" width="9.75" style="102" customWidth="1"/>
    <col min="16131" max="16384" width="11" style="102"/>
  </cols>
  <sheetData>
    <row r="1" spans="1:17" ht="22.5">
      <c r="A1" s="122" t="s">
        <v>257</v>
      </c>
    </row>
    <row r="3" spans="1:17">
      <c r="P3" s="104" t="s">
        <v>193</v>
      </c>
    </row>
    <row r="5" spans="1:17" ht="85.5">
      <c r="B5" s="102" t="s">
        <v>194</v>
      </c>
      <c r="C5" s="70" t="s">
        <v>77</v>
      </c>
      <c r="D5" s="66" t="s">
        <v>78</v>
      </c>
      <c r="E5" s="66" t="s">
        <v>195</v>
      </c>
      <c r="F5" s="66" t="s">
        <v>57</v>
      </c>
      <c r="G5" s="66" t="s">
        <v>56</v>
      </c>
      <c r="H5" s="97" t="s">
        <v>191</v>
      </c>
      <c r="I5" s="97" t="s">
        <v>192</v>
      </c>
      <c r="J5" s="105" t="s">
        <v>196</v>
      </c>
      <c r="K5" s="66" t="s">
        <v>197</v>
      </c>
      <c r="L5" s="66" t="s">
        <v>61</v>
      </c>
      <c r="M5" s="66" t="s">
        <v>198</v>
      </c>
      <c r="N5" s="66" t="s">
        <v>199</v>
      </c>
      <c r="O5" s="66" t="s">
        <v>200</v>
      </c>
      <c r="P5" s="66" t="s">
        <v>201</v>
      </c>
      <c r="Q5" s="66" t="s">
        <v>202</v>
      </c>
    </row>
    <row r="6" spans="1:17" s="106" customFormat="1">
      <c r="A6" s="106">
        <v>1</v>
      </c>
      <c r="B6" s="106" t="s">
        <v>203</v>
      </c>
      <c r="C6" s="7" t="s">
        <v>84</v>
      </c>
      <c r="D6" s="24">
        <v>811</v>
      </c>
      <c r="E6" s="24">
        <v>21303000</v>
      </c>
      <c r="F6" s="24">
        <v>1907</v>
      </c>
      <c r="G6" s="24">
        <v>21163827</v>
      </c>
      <c r="H6" s="24"/>
      <c r="I6" s="24"/>
      <c r="J6" s="24">
        <v>1907</v>
      </c>
      <c r="K6" s="24">
        <v>638378</v>
      </c>
      <c r="L6" s="24">
        <f>K6/P6</f>
        <v>20592.83870967742</v>
      </c>
      <c r="M6" s="107">
        <v>7119318.6065212544</v>
      </c>
      <c r="N6" s="24">
        <f>M6/K6</f>
        <v>11.152199177479886</v>
      </c>
      <c r="O6" s="24" t="e">
        <f>M6/#REF!</f>
        <v>#REF!</v>
      </c>
      <c r="P6" s="7">
        <v>31</v>
      </c>
      <c r="Q6" s="17">
        <v>12.3</v>
      </c>
    </row>
    <row r="7" spans="1:17" s="106" customFormat="1">
      <c r="A7" s="106">
        <v>2</v>
      </c>
      <c r="B7" s="106" t="s">
        <v>204</v>
      </c>
      <c r="C7" s="7" t="s">
        <v>85</v>
      </c>
      <c r="D7" s="24">
        <v>1488</v>
      </c>
      <c r="E7" s="24"/>
      <c r="F7" s="24">
        <v>1911</v>
      </c>
      <c r="G7" s="24">
        <v>120998060</v>
      </c>
      <c r="H7" s="24"/>
      <c r="I7" s="24"/>
      <c r="J7" s="24">
        <v>1911</v>
      </c>
      <c r="K7" s="24">
        <v>5526519</v>
      </c>
      <c r="L7" s="24">
        <v>170894</v>
      </c>
      <c r="M7" s="24">
        <v>39059997</v>
      </c>
      <c r="N7" s="24">
        <f>M7/K7</f>
        <v>7.0677395662622349</v>
      </c>
      <c r="O7" s="24" t="e">
        <f>M7/#REF!</f>
        <v>#REF!</v>
      </c>
      <c r="P7" s="7">
        <f t="shared" ref="P7:P28" si="0">K7/L7</f>
        <v>32.338870879024427</v>
      </c>
      <c r="Q7" s="17" t="s">
        <v>205</v>
      </c>
    </row>
    <row r="8" spans="1:17" s="106" customFormat="1">
      <c r="A8" s="106">
        <v>3</v>
      </c>
      <c r="B8" s="106" t="s">
        <v>206</v>
      </c>
      <c r="C8" s="7" t="s">
        <v>86</v>
      </c>
      <c r="D8" s="24">
        <v>673</v>
      </c>
      <c r="E8" s="24">
        <v>303100000</v>
      </c>
      <c r="F8" s="24">
        <v>1911</v>
      </c>
      <c r="G8" s="24">
        <v>255368553</v>
      </c>
      <c r="H8" s="24"/>
      <c r="I8" s="24"/>
      <c r="J8" s="24" t="s">
        <v>207</v>
      </c>
      <c r="K8" s="24">
        <v>4988142</v>
      </c>
      <c r="L8" s="24">
        <f>2787+46593+7198+604+95802+18375</f>
        <v>171359</v>
      </c>
      <c r="M8" s="24">
        <f>(20726145/1.078688525)/3.0746</f>
        <v>6249335.6415535137</v>
      </c>
      <c r="N8" s="24">
        <f>M8/K8</f>
        <v>1.2528383597647208</v>
      </c>
      <c r="O8" s="24" t="e">
        <f>M8/#REF!</f>
        <v>#REF!</v>
      </c>
      <c r="P8" s="7">
        <f t="shared" si="0"/>
        <v>29.10930852771083</v>
      </c>
      <c r="Q8" s="17">
        <v>6.5</v>
      </c>
    </row>
    <row r="9" spans="1:17" s="106" customFormat="1">
      <c r="A9" s="106">
        <v>4</v>
      </c>
      <c r="B9" s="106" t="s">
        <v>208</v>
      </c>
      <c r="C9" s="7" t="s">
        <v>87</v>
      </c>
      <c r="D9" s="24">
        <v>552</v>
      </c>
      <c r="E9" s="24">
        <v>432375000</v>
      </c>
      <c r="F9" s="24">
        <v>1910</v>
      </c>
      <c r="G9" s="24">
        <v>316622264</v>
      </c>
      <c r="H9" s="24"/>
      <c r="I9" s="24"/>
      <c r="J9" s="24">
        <v>1912</v>
      </c>
      <c r="K9" s="24">
        <v>2795475</v>
      </c>
      <c r="L9" s="24"/>
      <c r="M9" s="24">
        <v>10021307.650842512</v>
      </c>
      <c r="N9" s="24">
        <f>M9/K9</f>
        <v>3.5848317909630785</v>
      </c>
      <c r="O9" s="24" t="e">
        <f>M9/#REF!</f>
        <v>#REF!</v>
      </c>
      <c r="P9" s="7"/>
      <c r="Q9" s="17" t="s">
        <v>209</v>
      </c>
    </row>
    <row r="10" spans="1:17" s="106" customFormat="1">
      <c r="C10" s="7"/>
      <c r="D10" s="24">
        <v>762</v>
      </c>
      <c r="E10" s="24"/>
      <c r="F10" s="24"/>
      <c r="G10" s="24">
        <f>SUM(G6:G9)</f>
        <v>714152704</v>
      </c>
      <c r="H10" s="24"/>
      <c r="I10" s="24"/>
      <c r="J10" s="24"/>
      <c r="K10" s="24">
        <v>13948514</v>
      </c>
      <c r="L10" s="24"/>
      <c r="M10" s="24">
        <f>SUM(M6:M9)</f>
        <v>62449958.89891728</v>
      </c>
      <c r="N10" s="24">
        <f>M10/K10</f>
        <v>4.4771764862491645</v>
      </c>
      <c r="O10" s="24" t="e">
        <f>M10/#REF!</f>
        <v>#REF!</v>
      </c>
      <c r="P10" s="7"/>
      <c r="Q10" s="17"/>
    </row>
    <row r="11" spans="1:17" s="106" customFormat="1">
      <c r="C11" s="7"/>
      <c r="D11" s="24"/>
      <c r="E11" s="24"/>
      <c r="F11" s="24"/>
      <c r="G11" s="24"/>
      <c r="H11" s="24"/>
      <c r="I11" s="24"/>
      <c r="J11" s="24"/>
      <c r="K11" s="24"/>
      <c r="L11" s="24"/>
      <c r="M11" s="24"/>
      <c r="N11" s="24"/>
      <c r="O11" s="24"/>
      <c r="P11" s="7"/>
      <c r="Q11" s="17"/>
    </row>
    <row r="12" spans="1:17">
      <c r="A12" s="102">
        <v>5</v>
      </c>
      <c r="B12" s="102" t="s">
        <v>210</v>
      </c>
      <c r="C12" s="70" t="s">
        <v>211</v>
      </c>
      <c r="D12" s="24">
        <v>5301</v>
      </c>
      <c r="E12" s="24"/>
      <c r="F12" s="24">
        <v>1907</v>
      </c>
      <c r="G12" s="24">
        <v>86874990</v>
      </c>
      <c r="H12" s="24">
        <f>G12*I12</f>
        <v>17752452.507937197</v>
      </c>
      <c r="I12" s="98">
        <f>I61</f>
        <v>0.20434480059148435</v>
      </c>
      <c r="J12" s="24" t="s">
        <v>212</v>
      </c>
      <c r="K12" s="24">
        <v>17061962</v>
      </c>
      <c r="L12" s="24">
        <v>495463</v>
      </c>
      <c r="M12" s="24">
        <v>371344410</v>
      </c>
      <c r="N12" s="24">
        <f>M12/K12</f>
        <v>21.764461203230905</v>
      </c>
      <c r="O12" s="24">
        <f>M12/H12</f>
        <v>20.917921613026163</v>
      </c>
      <c r="P12" s="7">
        <f>K12/L12</f>
        <v>34.436399892625687</v>
      </c>
      <c r="Q12" s="70">
        <v>89.6</v>
      </c>
    </row>
    <row r="13" spans="1:17" s="106" customFormat="1">
      <c r="A13" s="106">
        <v>6</v>
      </c>
      <c r="B13" s="106" t="s">
        <v>213</v>
      </c>
      <c r="C13" s="7" t="s">
        <v>91</v>
      </c>
      <c r="D13" s="24">
        <v>3465</v>
      </c>
      <c r="E13" s="24"/>
      <c r="F13" s="24">
        <v>1904</v>
      </c>
      <c r="G13" s="24">
        <v>27238053</v>
      </c>
      <c r="H13" s="24">
        <f>(1660+1521+1663+1536)*1000</f>
        <v>6380000</v>
      </c>
      <c r="I13" s="99">
        <f>H13/G13</f>
        <v>0.23423113245282254</v>
      </c>
      <c r="J13" s="24">
        <v>1905</v>
      </c>
      <c r="K13" s="24">
        <v>3998979</v>
      </c>
      <c r="L13" s="24">
        <v>91808</v>
      </c>
      <c r="M13" s="24">
        <v>27451081</v>
      </c>
      <c r="N13" s="24">
        <f>M13/K13</f>
        <v>6.864522419347538</v>
      </c>
      <c r="O13" s="24">
        <f>M13/H13</f>
        <v>4.3026772727272729</v>
      </c>
      <c r="P13" s="7">
        <f t="shared" si="0"/>
        <v>43.558066835134191</v>
      </c>
      <c r="Q13" s="17">
        <v>68</v>
      </c>
    </row>
    <row r="14" spans="1:17" s="106" customFormat="1">
      <c r="A14" s="106">
        <v>7</v>
      </c>
      <c r="B14" s="106" t="s">
        <v>214</v>
      </c>
      <c r="C14" s="7" t="s">
        <v>92</v>
      </c>
      <c r="D14" s="24">
        <v>2098</v>
      </c>
      <c r="E14" s="24"/>
      <c r="F14" s="24">
        <v>1904</v>
      </c>
      <c r="G14" s="24">
        <v>20107878</v>
      </c>
      <c r="H14" s="24">
        <f>(1204+1154+1194+1143)*1000</f>
        <v>4695000</v>
      </c>
      <c r="I14" s="99">
        <f t="shared" ref="I14:I29" si="1">H14/G14</f>
        <v>0.23349057518650154</v>
      </c>
      <c r="J14" s="24">
        <v>1905</v>
      </c>
      <c r="K14" s="24">
        <v>3325155</v>
      </c>
      <c r="L14" s="24">
        <v>32020</v>
      </c>
      <c r="M14" s="24">
        <v>18404200</v>
      </c>
      <c r="N14" s="24">
        <f t="shared" ref="N14:N29" si="2">M14/K14</f>
        <v>5.5348397292757783</v>
      </c>
      <c r="O14" s="24">
        <f>M14/H14</f>
        <v>3.9199574014909477</v>
      </c>
      <c r="P14" s="7">
        <f t="shared" si="0"/>
        <v>103.84618988132418</v>
      </c>
      <c r="Q14" s="17">
        <v>52.6</v>
      </c>
    </row>
    <row r="15" spans="1:17" s="106" customFormat="1">
      <c r="A15" s="106">
        <v>8</v>
      </c>
      <c r="B15" s="106" t="s">
        <v>215</v>
      </c>
      <c r="C15" s="7" t="s">
        <v>93</v>
      </c>
      <c r="D15" s="24">
        <v>3485</v>
      </c>
      <c r="E15" s="24">
        <v>40942000</v>
      </c>
      <c r="F15" s="24">
        <v>1905</v>
      </c>
      <c r="G15" s="24">
        <v>38845000</v>
      </c>
      <c r="H15" s="24">
        <f>(1660+1617+1652+1601)*1000</f>
        <v>6530000</v>
      </c>
      <c r="I15" s="99">
        <f t="shared" si="1"/>
        <v>0.16810400308920068</v>
      </c>
      <c r="J15" s="24">
        <v>1906</v>
      </c>
      <c r="K15" s="24">
        <v>5585025</v>
      </c>
      <c r="L15" s="24">
        <v>151914</v>
      </c>
      <c r="M15" s="24">
        <v>42421181</v>
      </c>
      <c r="N15" s="24">
        <f t="shared" si="2"/>
        <v>7.5955221328463169</v>
      </c>
      <c r="O15" s="24">
        <f>M15/H15</f>
        <v>6.4963523736600308</v>
      </c>
      <c r="P15" s="7">
        <f t="shared" si="0"/>
        <v>36.764386429163871</v>
      </c>
      <c r="Q15" s="17">
        <v>84.8</v>
      </c>
    </row>
    <row r="16" spans="1:17" s="106" customFormat="1">
      <c r="A16" s="106">
        <v>9</v>
      </c>
      <c r="B16" s="106" t="s">
        <v>216</v>
      </c>
      <c r="C16" s="7" t="s">
        <v>217</v>
      </c>
      <c r="D16" s="24">
        <v>3648</v>
      </c>
      <c r="E16" s="24">
        <v>59481000</v>
      </c>
      <c r="F16" s="24">
        <v>1905</v>
      </c>
      <c r="G16" s="24">
        <v>60641278</v>
      </c>
      <c r="H16" s="24">
        <f>(3714+3471+3684+3449)*1000</f>
        <v>14318000</v>
      </c>
      <c r="I16" s="99">
        <f t="shared" si="1"/>
        <v>0.23610979966484216</v>
      </c>
      <c r="J16" s="24">
        <v>1906</v>
      </c>
      <c r="K16" s="24">
        <v>10224125</v>
      </c>
      <c r="L16" s="24">
        <v>166597</v>
      </c>
      <c r="M16" s="24">
        <v>124420918</v>
      </c>
      <c r="N16" s="24">
        <f t="shared" si="2"/>
        <v>12.169346325480175</v>
      </c>
      <c r="O16" s="24">
        <f t="shared" ref="O16:O30" si="3">M16/H16</f>
        <v>8.6898252549238713</v>
      </c>
      <c r="P16" s="7">
        <f t="shared" si="0"/>
        <v>61.370402828382261</v>
      </c>
      <c r="Q16" s="17">
        <v>72</v>
      </c>
    </row>
    <row r="17" spans="1:23" s="106" customFormat="1">
      <c r="A17" s="106">
        <v>10</v>
      </c>
      <c r="B17" s="106" t="s">
        <v>218</v>
      </c>
      <c r="C17" s="7" t="s">
        <v>219</v>
      </c>
      <c r="D17" s="24">
        <v>4921</v>
      </c>
      <c r="E17" s="24"/>
      <c r="F17" s="24">
        <v>1908</v>
      </c>
      <c r="G17" s="24">
        <v>35348780</v>
      </c>
      <c r="H17" s="24">
        <f>(1847+1748+1850+1752)*1000</f>
        <v>7197000</v>
      </c>
      <c r="I17" s="99">
        <f t="shared" si="1"/>
        <v>0.20359967161525802</v>
      </c>
      <c r="J17" s="24">
        <v>1908</v>
      </c>
      <c r="K17" s="24">
        <v>6016362</v>
      </c>
      <c r="L17" s="24">
        <v>177628</v>
      </c>
      <c r="M17" s="24">
        <v>102809035</v>
      </c>
      <c r="N17" s="24">
        <f t="shared" si="2"/>
        <v>17.088239537448047</v>
      </c>
      <c r="O17" s="24">
        <f t="shared" si="3"/>
        <v>14.284984715853827</v>
      </c>
      <c r="P17" s="7">
        <f t="shared" si="0"/>
        <v>33.870572207084471</v>
      </c>
      <c r="Q17" s="17">
        <v>72.900000000000006</v>
      </c>
    </row>
    <row r="18" spans="1:23">
      <c r="A18" s="102">
        <v>11</v>
      </c>
      <c r="B18" s="102" t="s">
        <v>220</v>
      </c>
      <c r="C18" s="70" t="s">
        <v>220</v>
      </c>
      <c r="D18" s="24">
        <v>2736</v>
      </c>
      <c r="E18" s="24">
        <v>4388000</v>
      </c>
      <c r="F18" s="24">
        <v>1908</v>
      </c>
      <c r="G18" s="24">
        <v>4363351</v>
      </c>
      <c r="H18" s="24">
        <f>(222+217+216+210)*1000</f>
        <v>865000</v>
      </c>
      <c r="I18" s="99">
        <f t="shared" si="1"/>
        <v>0.19824213087601708</v>
      </c>
      <c r="J18" s="24">
        <v>1907</v>
      </c>
      <c r="K18" s="24">
        <v>734460</v>
      </c>
      <c r="L18" s="24">
        <v>14834</v>
      </c>
      <c r="M18" s="24">
        <v>6852787</v>
      </c>
      <c r="N18" s="24">
        <f>M18/K18</f>
        <v>9.3303746970563406</v>
      </c>
      <c r="O18" s="24">
        <f t="shared" si="3"/>
        <v>7.92229710982659</v>
      </c>
      <c r="P18" s="7">
        <f>K18/L18</f>
        <v>49.511932047997846</v>
      </c>
      <c r="Q18" s="70">
        <v>57.4</v>
      </c>
    </row>
    <row r="19" spans="1:23" s="106" customFormat="1">
      <c r="A19" s="106">
        <v>12</v>
      </c>
      <c r="B19" s="106" t="s">
        <v>221</v>
      </c>
      <c r="C19" s="7" t="s">
        <v>97</v>
      </c>
      <c r="D19" s="24">
        <v>2564</v>
      </c>
      <c r="E19" s="24">
        <v>35297000</v>
      </c>
      <c r="F19" s="24">
        <v>1908</v>
      </c>
      <c r="G19" s="24">
        <v>33909776</v>
      </c>
      <c r="H19" s="100">
        <f>G19*I19</f>
        <v>7258067.1943699345</v>
      </c>
      <c r="I19" s="101">
        <f>I44</f>
        <v>0.2140405526232298</v>
      </c>
      <c r="J19" s="24" t="s">
        <v>222</v>
      </c>
      <c r="K19" s="24">
        <v>2733349</v>
      </c>
      <c r="L19" s="24">
        <v>66637</v>
      </c>
      <c r="M19" s="24">
        <v>13209080</v>
      </c>
      <c r="N19" s="24">
        <f t="shared" si="2"/>
        <v>4.8325625450683392</v>
      </c>
      <c r="O19" s="24">
        <f t="shared" si="3"/>
        <v>1.8199170173357244</v>
      </c>
      <c r="P19" s="7">
        <f t="shared" si="0"/>
        <v>41.01848822726113</v>
      </c>
      <c r="Q19" s="17">
        <v>44.6</v>
      </c>
    </row>
    <row r="20" spans="1:23" s="106" customFormat="1">
      <c r="A20" s="106">
        <v>13</v>
      </c>
      <c r="B20" s="106" t="s">
        <v>223</v>
      </c>
      <c r="C20" s="7" t="s">
        <v>98</v>
      </c>
      <c r="D20" s="24">
        <v>2056</v>
      </c>
      <c r="E20" s="24">
        <v>19585000</v>
      </c>
      <c r="F20" s="24">
        <v>1907</v>
      </c>
      <c r="G20" s="24">
        <v>19712585</v>
      </c>
      <c r="H20" s="24">
        <f>(1174+1047+1054+1043)*1000</f>
        <v>4318000</v>
      </c>
      <c r="I20" s="99">
        <f t="shared" si="1"/>
        <v>0.21904788235535827</v>
      </c>
      <c r="J20" s="24">
        <v>1908</v>
      </c>
      <c r="K20" s="24">
        <v>2000000</v>
      </c>
      <c r="L20" s="24"/>
      <c r="M20" s="24">
        <v>5000000</v>
      </c>
      <c r="N20" s="24">
        <f t="shared" si="2"/>
        <v>2.5</v>
      </c>
      <c r="O20" s="24">
        <f t="shared" si="3"/>
        <v>1.1579434923575729</v>
      </c>
      <c r="P20" s="7"/>
      <c r="Q20" s="17">
        <v>47.3</v>
      </c>
    </row>
    <row r="21" spans="1:23" s="106" customFormat="1">
      <c r="A21" s="106">
        <v>14</v>
      </c>
      <c r="B21" s="106" t="s">
        <v>224</v>
      </c>
      <c r="C21" s="7" t="s">
        <v>99</v>
      </c>
      <c r="D21" s="24">
        <v>3073</v>
      </c>
      <c r="E21" s="24">
        <v>5357000</v>
      </c>
      <c r="F21" s="24">
        <v>1907</v>
      </c>
      <c r="G21" s="24">
        <v>5377713</v>
      </c>
      <c r="H21" s="24">
        <f>(296+280+286+270)*1000</f>
        <v>1132000</v>
      </c>
      <c r="I21" s="99">
        <f t="shared" si="1"/>
        <v>0.2104984033175441</v>
      </c>
      <c r="J21" s="24">
        <v>1907</v>
      </c>
      <c r="K21" s="24">
        <v>756482</v>
      </c>
      <c r="L21" s="24">
        <v>18525</v>
      </c>
      <c r="M21" s="24">
        <v>11725000</v>
      </c>
      <c r="N21" s="24">
        <f t="shared" si="2"/>
        <v>15.499377381087719</v>
      </c>
      <c r="O21" s="24">
        <f t="shared" si="3"/>
        <v>10.357773851590107</v>
      </c>
      <c r="P21" s="7">
        <f t="shared" si="0"/>
        <v>40.835735492577598</v>
      </c>
      <c r="Q21" s="17">
        <v>69.900000000000006</v>
      </c>
    </row>
    <row r="22" spans="1:23" s="106" customFormat="1">
      <c r="A22" s="106">
        <v>15</v>
      </c>
      <c r="B22" s="106" t="s">
        <v>225</v>
      </c>
      <c r="C22" s="7" t="s">
        <v>100</v>
      </c>
      <c r="D22" s="24">
        <v>1387</v>
      </c>
      <c r="E22" s="24">
        <v>47227000</v>
      </c>
      <c r="F22" s="24">
        <v>1910</v>
      </c>
      <c r="G22" s="24">
        <v>49319166</v>
      </c>
      <c r="H22" s="24">
        <f>H57</f>
        <v>11527000</v>
      </c>
      <c r="I22" s="99">
        <f t="shared" si="1"/>
        <v>0.2337225248293939</v>
      </c>
      <c r="J22" s="24" t="s">
        <v>226</v>
      </c>
      <c r="K22" s="24">
        <v>5517735</v>
      </c>
      <c r="L22" s="24">
        <v>116070</v>
      </c>
      <c r="M22" s="24">
        <v>15751847</v>
      </c>
      <c r="N22" s="24">
        <f t="shared" si="2"/>
        <v>2.854766856327823</v>
      </c>
      <c r="O22" s="24">
        <f t="shared" si="3"/>
        <v>1.3665174806974929</v>
      </c>
      <c r="P22" s="7">
        <f t="shared" si="0"/>
        <v>47.537994313776167</v>
      </c>
      <c r="Q22" s="17">
        <v>59.9</v>
      </c>
    </row>
    <row r="23" spans="1:23" s="106" customFormat="1">
      <c r="A23" s="106">
        <v>16</v>
      </c>
      <c r="B23" s="106" t="s">
        <v>227</v>
      </c>
      <c r="C23" s="7" t="s">
        <v>101</v>
      </c>
      <c r="D23" s="24">
        <v>1602</v>
      </c>
      <c r="E23" s="24"/>
      <c r="F23" s="24">
        <v>1904</v>
      </c>
      <c r="G23" s="24">
        <v>2409804</v>
      </c>
      <c r="H23" s="24">
        <f>G23*I23</f>
        <v>481960.80000000005</v>
      </c>
      <c r="I23" s="99">
        <v>0.2</v>
      </c>
      <c r="J23" s="24">
        <v>1908</v>
      </c>
      <c r="K23" s="24">
        <v>174421</v>
      </c>
      <c r="L23" s="24">
        <v>6679</v>
      </c>
      <c r="M23" s="24">
        <v>2235153</v>
      </c>
      <c r="N23" s="24">
        <f t="shared" si="2"/>
        <v>12.814701211436697</v>
      </c>
      <c r="O23" s="24">
        <f t="shared" si="3"/>
        <v>4.6376240557323332</v>
      </c>
      <c r="P23" s="7">
        <f t="shared" si="0"/>
        <v>26.114837550531515</v>
      </c>
      <c r="Q23" s="17">
        <v>21</v>
      </c>
    </row>
    <row r="24" spans="1:23" s="106" customFormat="1">
      <c r="A24" s="106">
        <v>17</v>
      </c>
      <c r="B24" s="106" t="s">
        <v>228</v>
      </c>
      <c r="C24" s="7" t="s">
        <v>102</v>
      </c>
      <c r="D24" s="24">
        <v>1732</v>
      </c>
      <c r="E24" s="24">
        <v>14208000</v>
      </c>
      <c r="F24" s="24">
        <v>1900</v>
      </c>
      <c r="G24" s="24">
        <v>13605919</v>
      </c>
      <c r="H24" s="24">
        <f>(1102+816+1046+779)*1000</f>
        <v>3743000</v>
      </c>
      <c r="I24" s="99">
        <f t="shared" si="1"/>
        <v>0.27510085867775635</v>
      </c>
      <c r="J24" s="24">
        <v>1904</v>
      </c>
      <c r="K24" s="24">
        <v>756260</v>
      </c>
      <c r="L24" s="24"/>
      <c r="M24" s="24">
        <v>4155526</v>
      </c>
      <c r="N24" s="24">
        <f t="shared" si="2"/>
        <v>5.494837754211515</v>
      </c>
      <c r="O24" s="24">
        <f t="shared" si="3"/>
        <v>1.1102126636387923</v>
      </c>
      <c r="P24" s="7"/>
      <c r="Q24" s="17">
        <v>18.600000000000001</v>
      </c>
    </row>
    <row r="25" spans="1:23" s="106" customFormat="1">
      <c r="A25" s="106">
        <v>18</v>
      </c>
      <c r="B25" s="106" t="s">
        <v>229</v>
      </c>
      <c r="C25" s="7" t="s">
        <v>103</v>
      </c>
      <c r="D25" s="24">
        <v>2988</v>
      </c>
      <c r="E25" s="24">
        <v>3172000</v>
      </c>
      <c r="F25" s="24">
        <v>1905</v>
      </c>
      <c r="G25" s="24">
        <v>3399928</v>
      </c>
      <c r="H25" s="24">
        <f>(171+196+164+183)*1000</f>
        <v>714000</v>
      </c>
      <c r="I25" s="99">
        <f t="shared" si="1"/>
        <v>0.21000444715299854</v>
      </c>
      <c r="J25" s="24">
        <v>1906</v>
      </c>
      <c r="K25" s="24">
        <v>198856</v>
      </c>
      <c r="L25" s="24">
        <v>4520</v>
      </c>
      <c r="M25" s="24">
        <v>2369380</v>
      </c>
      <c r="N25" s="24">
        <f t="shared" si="2"/>
        <v>11.915054109506377</v>
      </c>
      <c r="O25" s="24">
        <f t="shared" si="3"/>
        <v>3.3184593837535012</v>
      </c>
      <c r="P25" s="7">
        <f t="shared" si="0"/>
        <v>43.994690265486724</v>
      </c>
      <c r="Q25" s="17">
        <v>43.1</v>
      </c>
    </row>
    <row r="26" spans="1:23" s="106" customFormat="1">
      <c r="A26" s="106">
        <v>19</v>
      </c>
      <c r="B26" s="106" t="s">
        <v>230</v>
      </c>
      <c r="C26" s="7" t="s">
        <v>104</v>
      </c>
      <c r="D26" s="24">
        <v>3310</v>
      </c>
      <c r="E26" s="24">
        <v>1026000</v>
      </c>
      <c r="F26" s="24">
        <v>1906</v>
      </c>
      <c r="G26" s="24">
        <v>1103046</v>
      </c>
      <c r="H26" s="24">
        <f>(68+63+66+63)*1000</f>
        <v>260000</v>
      </c>
      <c r="I26" s="99">
        <f t="shared" si="1"/>
        <v>0.23571093136641627</v>
      </c>
      <c r="J26" s="24">
        <v>1907</v>
      </c>
      <c r="K26" s="24">
        <v>78727</v>
      </c>
      <c r="L26" s="24">
        <v>1971</v>
      </c>
      <c r="M26" s="24">
        <v>346996</v>
      </c>
      <c r="N26" s="24">
        <f t="shared" si="2"/>
        <v>4.4075857075717355</v>
      </c>
      <c r="O26" s="24">
        <f t="shared" si="3"/>
        <v>1.3346</v>
      </c>
      <c r="P26" s="7">
        <f t="shared" si="0"/>
        <v>39.942668696093357</v>
      </c>
      <c r="Q26" s="17">
        <v>29.2</v>
      </c>
    </row>
    <row r="27" spans="1:23">
      <c r="A27" s="102">
        <v>20</v>
      </c>
      <c r="B27" s="102" t="s">
        <v>231</v>
      </c>
      <c r="C27" s="7" t="s">
        <v>105</v>
      </c>
      <c r="D27" s="24"/>
      <c r="E27" s="24">
        <v>1779000</v>
      </c>
      <c r="F27" s="24">
        <v>1906</v>
      </c>
      <c r="G27" s="24">
        <v>1953916</v>
      </c>
      <c r="H27" s="24">
        <f>G27*I27</f>
        <v>236174.98820754717</v>
      </c>
      <c r="I27" s="101">
        <f>I45</f>
        <v>0.12087264150943396</v>
      </c>
      <c r="J27" s="24">
        <v>1906</v>
      </c>
      <c r="K27" s="24">
        <v>48560</v>
      </c>
      <c r="L27" s="24">
        <v>1126</v>
      </c>
      <c r="M27" s="24">
        <v>266750</v>
      </c>
      <c r="N27" s="24">
        <f>M27/K27</f>
        <v>5.4932042833607904</v>
      </c>
      <c r="O27" s="24">
        <f t="shared" si="3"/>
        <v>1.1294591439360375</v>
      </c>
      <c r="P27" s="7">
        <f>K27/L27</f>
        <v>43.126110124333927</v>
      </c>
      <c r="Q27" s="17">
        <v>13.6</v>
      </c>
      <c r="R27" s="106"/>
      <c r="S27" s="106"/>
      <c r="T27" s="106"/>
      <c r="U27" s="106"/>
      <c r="V27" s="106"/>
      <c r="W27" s="106"/>
    </row>
    <row r="28" spans="1:23">
      <c r="A28" s="102">
        <v>21</v>
      </c>
      <c r="B28" s="102" t="s">
        <v>232</v>
      </c>
      <c r="C28" s="70" t="s">
        <v>232</v>
      </c>
      <c r="D28" s="24">
        <v>1032</v>
      </c>
      <c r="E28" s="24">
        <v>3984000</v>
      </c>
      <c r="F28" s="24">
        <v>1910</v>
      </c>
      <c r="G28" s="24">
        <v>4000000</v>
      </c>
      <c r="H28" s="24">
        <f>G28*I28</f>
        <v>640000</v>
      </c>
      <c r="I28" s="99">
        <v>0.16</v>
      </c>
      <c r="J28" s="24">
        <v>1907</v>
      </c>
      <c r="K28" s="24">
        <v>156011</v>
      </c>
      <c r="L28" s="24">
        <v>3160</v>
      </c>
      <c r="M28" s="24">
        <v>360500</v>
      </c>
      <c r="N28" s="24">
        <f t="shared" si="2"/>
        <v>2.3107344994904206</v>
      </c>
      <c r="O28" s="24">
        <f t="shared" si="3"/>
        <v>0.56328124999999996</v>
      </c>
      <c r="P28" s="7">
        <f t="shared" si="0"/>
        <v>49.370569620253164</v>
      </c>
      <c r="Q28" s="70">
        <v>15.3</v>
      </c>
    </row>
    <row r="29" spans="1:23">
      <c r="A29" s="102">
        <v>22</v>
      </c>
      <c r="B29" s="102" t="s">
        <v>233</v>
      </c>
      <c r="C29" s="70" t="s">
        <v>233</v>
      </c>
      <c r="D29" s="24">
        <v>608</v>
      </c>
      <c r="E29" s="24">
        <v>781000</v>
      </c>
      <c r="F29" s="24">
        <v>1907</v>
      </c>
      <c r="G29" s="24">
        <v>830261</v>
      </c>
      <c r="H29" s="24">
        <f>(59+50+59+48)*1000</f>
        <v>216000</v>
      </c>
      <c r="I29" s="99">
        <f t="shared" si="1"/>
        <v>0.26015915477181273</v>
      </c>
      <c r="J29" s="24" t="s">
        <v>212</v>
      </c>
      <c r="K29" s="24">
        <v>88862</v>
      </c>
      <c r="L29" s="24"/>
      <c r="M29" s="24">
        <v>225086</v>
      </c>
      <c r="N29" s="24">
        <f t="shared" si="2"/>
        <v>2.5329837275775922</v>
      </c>
      <c r="O29" s="24">
        <f t="shared" si="3"/>
        <v>1.0420648148148148</v>
      </c>
      <c r="P29" s="70"/>
      <c r="Q29" s="70">
        <v>44.9</v>
      </c>
    </row>
    <row r="30" spans="1:23">
      <c r="A30" s="102">
        <v>23</v>
      </c>
      <c r="B30" s="102" t="s">
        <v>234</v>
      </c>
      <c r="C30" s="70" t="s">
        <v>234</v>
      </c>
      <c r="D30" s="24">
        <v>1234</v>
      </c>
      <c r="E30" s="24">
        <v>4520000</v>
      </c>
      <c r="F30" s="24">
        <v>1901</v>
      </c>
      <c r="G30" s="24">
        <v>3578333</v>
      </c>
      <c r="H30" s="24">
        <f>G30*I30</f>
        <v>897367.63539350824</v>
      </c>
      <c r="I30" s="101">
        <f>I54</f>
        <v>0.25077812361049356</v>
      </c>
      <c r="J30" s="24">
        <v>1908</v>
      </c>
      <c r="K30" s="24">
        <v>287095</v>
      </c>
      <c r="L30" s="24"/>
      <c r="M30" s="24">
        <v>420439</v>
      </c>
      <c r="N30" s="24">
        <f>M30/K30</f>
        <v>1.4644594994688169</v>
      </c>
      <c r="O30" s="24">
        <f t="shared" si="3"/>
        <v>0.46852480902727411</v>
      </c>
      <c r="P30" s="70"/>
      <c r="Q30" s="70">
        <v>30.2</v>
      </c>
    </row>
    <row r="31" spans="1:23">
      <c r="O31" s="24"/>
    </row>
    <row r="32" spans="1:23">
      <c r="O32" s="24"/>
    </row>
    <row r="33" spans="2:17" s="106" customFormat="1">
      <c r="B33" s="106" t="s">
        <v>235</v>
      </c>
      <c r="C33" s="7" t="s">
        <v>58</v>
      </c>
      <c r="D33" s="24"/>
      <c r="E33" s="24"/>
      <c r="F33" s="24">
        <v>1905</v>
      </c>
      <c r="G33" s="24">
        <v>37293324</v>
      </c>
      <c r="H33" s="24"/>
      <c r="I33" s="24"/>
      <c r="J33" s="24">
        <v>1906</v>
      </c>
      <c r="K33" s="24">
        <v>6484092</v>
      </c>
      <c r="L33" s="24">
        <v>102764</v>
      </c>
      <c r="M33" s="24">
        <v>78122786</v>
      </c>
      <c r="N33" s="24">
        <f>M33/K33</f>
        <v>12.048377166764444</v>
      </c>
      <c r="O33" s="24">
        <f>M33/(G33*0.2)</f>
        <v>10.474097991372396</v>
      </c>
      <c r="P33" s="7">
        <f>K33/L33</f>
        <v>63.096921100774587</v>
      </c>
      <c r="Q33" s="17"/>
    </row>
    <row r="39" spans="2:17">
      <c r="H39" s="120" t="s">
        <v>254</v>
      </c>
    </row>
    <row r="42" spans="2:17">
      <c r="F42" s="119" t="s">
        <v>253</v>
      </c>
    </row>
    <row r="43" spans="2:17">
      <c r="G43" s="102" t="s">
        <v>236</v>
      </c>
      <c r="H43" s="102" t="s">
        <v>247</v>
      </c>
    </row>
    <row r="44" spans="2:17">
      <c r="F44" s="102" t="s">
        <v>237</v>
      </c>
      <c r="G44" s="102">
        <v>34671000</v>
      </c>
      <c r="H44" s="24">
        <f>(1911+1840+1862+1808)*1000</f>
        <v>7421000</v>
      </c>
      <c r="I44" s="108">
        <f>H44/G44</f>
        <v>0.2140405526232298</v>
      </c>
    </row>
    <row r="45" spans="2:17">
      <c r="F45" s="102" t="s">
        <v>105</v>
      </c>
      <c r="G45" s="102">
        <v>1696000</v>
      </c>
      <c r="H45" s="24">
        <f>(104+101)*1000</f>
        <v>205000</v>
      </c>
      <c r="I45" s="108">
        <f>H45/G45</f>
        <v>0.12087264150943396</v>
      </c>
    </row>
    <row r="47" spans="2:17">
      <c r="G47" s="102" t="s">
        <v>238</v>
      </c>
      <c r="I47" s="102" t="s">
        <v>239</v>
      </c>
    </row>
    <row r="48" spans="2:17">
      <c r="F48" s="102" t="s">
        <v>240</v>
      </c>
      <c r="G48" s="24">
        <v>4000000</v>
      </c>
      <c r="H48" s="102">
        <f>G48*I48</f>
        <v>800000</v>
      </c>
      <c r="I48" s="109">
        <v>0.2</v>
      </c>
    </row>
    <row r="49" spans="6:12">
      <c r="H49" s="102">
        <f>G48*I49</f>
        <v>480000</v>
      </c>
      <c r="I49" s="109">
        <v>0.12</v>
      </c>
    </row>
    <row r="51" spans="6:12">
      <c r="H51" s="102">
        <f>AVERAGE(H48:H49)</f>
        <v>640000</v>
      </c>
      <c r="I51" s="110">
        <f>H51/G48</f>
        <v>0.16</v>
      </c>
    </row>
    <row r="53" spans="6:12">
      <c r="G53" s="102" t="s">
        <v>241</v>
      </c>
      <c r="H53" s="102" t="s">
        <v>242</v>
      </c>
    </row>
    <row r="54" spans="6:12">
      <c r="F54" s="102" t="s">
        <v>243</v>
      </c>
      <c r="G54" s="102">
        <v>4498000</v>
      </c>
      <c r="H54" s="24">
        <f>(293+295+282+258)*1000</f>
        <v>1128000</v>
      </c>
      <c r="I54" s="102">
        <f>H54/G54</f>
        <v>0.25077812361049356</v>
      </c>
    </row>
    <row r="56" spans="6:12">
      <c r="G56" s="102" t="s">
        <v>244</v>
      </c>
      <c r="H56" s="102" t="s">
        <v>245</v>
      </c>
    </row>
    <row r="57" spans="6:12">
      <c r="F57" s="102" t="s">
        <v>100</v>
      </c>
      <c r="H57" s="24">
        <f>(2998+2850+2921+2758)*1000</f>
        <v>11527000</v>
      </c>
      <c r="I57" s="108" t="e">
        <f>H57/G57</f>
        <v>#DIV/0!</v>
      </c>
    </row>
    <row r="58" spans="6:12" ht="15" thickBot="1"/>
    <row r="59" spans="6:12">
      <c r="J59" s="111" t="s">
        <v>246</v>
      </c>
      <c r="K59" s="112" t="s">
        <v>247</v>
      </c>
      <c r="L59" s="113"/>
    </row>
    <row r="60" spans="6:12">
      <c r="G60" s="102" t="s">
        <v>248</v>
      </c>
      <c r="H60" s="102" t="s">
        <v>247</v>
      </c>
      <c r="J60" s="71"/>
      <c r="K60" s="70"/>
      <c r="L60" s="72">
        <v>1910</v>
      </c>
    </row>
    <row r="61" spans="6:12">
      <c r="F61" s="102" t="s">
        <v>246</v>
      </c>
      <c r="G61" s="102">
        <v>91972</v>
      </c>
      <c r="H61" s="102">
        <f>SUM(L61:L68)</f>
        <v>18794</v>
      </c>
      <c r="I61" s="108">
        <f>H61/G61</f>
        <v>0.20434480059148435</v>
      </c>
      <c r="J61" s="71" t="s">
        <v>249</v>
      </c>
      <c r="K61" s="114" t="s">
        <v>250</v>
      </c>
      <c r="L61" s="72">
        <v>4285</v>
      </c>
    </row>
    <row r="62" spans="6:12">
      <c r="J62" s="71"/>
      <c r="K62" s="115" t="s">
        <v>251</v>
      </c>
      <c r="L62" s="72">
        <v>4006</v>
      </c>
    </row>
    <row r="63" spans="6:12">
      <c r="J63" s="71"/>
      <c r="K63" s="114" t="s">
        <v>250</v>
      </c>
      <c r="L63" s="72">
        <v>4190</v>
      </c>
    </row>
    <row r="64" spans="6:12">
      <c r="J64" s="71"/>
      <c r="K64" s="115" t="s">
        <v>251</v>
      </c>
      <c r="L64" s="72">
        <v>3912</v>
      </c>
    </row>
    <row r="65" spans="10:12">
      <c r="J65" s="71" t="s">
        <v>252</v>
      </c>
      <c r="K65" s="114" t="s">
        <v>250</v>
      </c>
      <c r="L65" s="72">
        <v>619</v>
      </c>
    </row>
    <row r="66" spans="10:12">
      <c r="J66" s="71"/>
      <c r="K66" s="115" t="s">
        <v>251</v>
      </c>
      <c r="L66" s="72">
        <v>578</v>
      </c>
    </row>
    <row r="67" spans="10:12">
      <c r="J67" s="71"/>
      <c r="K67" s="114" t="s">
        <v>250</v>
      </c>
      <c r="L67" s="72">
        <v>627</v>
      </c>
    </row>
    <row r="68" spans="10:12" ht="15" thickBot="1">
      <c r="J68" s="116"/>
      <c r="K68" s="117" t="s">
        <v>251</v>
      </c>
      <c r="L68" s="118">
        <v>577</v>
      </c>
    </row>
  </sheetData>
  <pageMargins left="0.7" right="0.7" top="0.75" bottom="0.75" header="0.3" footer="0.3"/>
  <pageSetup orientation="portrait" horizontalDpi="4294967292" verticalDpi="4294967292"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D1048576"/>
    </sheetView>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Table 1 Comparative</vt:lpstr>
      <vt:lpstr>Tab 2 Enrollment</vt:lpstr>
      <vt:lpstr>Tab 3Expenditures</vt:lpstr>
      <vt:lpstr>MitchellLindertData</vt:lpstr>
      <vt:lpstr>COMPARATIVE Data_Working Table</vt:lpstr>
      <vt:lpstr>Sheet1</vt:lpstr>
      <vt:lpstr>'Tab 2 Enrollment'!Print_Area</vt:lpstr>
      <vt:lpstr>'Tab 3Expenditures'!Print_Area</vt:lpstr>
      <vt:lpstr>'Table 1 Comparative'!Print_Area</vt:lpstr>
    </vt:vector>
  </TitlesOfParts>
  <Company>Williams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Nafziger</dc:creator>
  <cp:lastModifiedBy>joed</cp:lastModifiedBy>
  <cp:lastPrinted>2011-12-16T17:35:13Z</cp:lastPrinted>
  <dcterms:created xsi:type="dcterms:W3CDTF">2011-10-01T01:20:00Z</dcterms:created>
  <dcterms:modified xsi:type="dcterms:W3CDTF">2012-02-07T23:21:23Z</dcterms:modified>
</cp:coreProperties>
</file>