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theme/themeOverride4.xml" ContentType="application/vnd.openxmlformats-officedocument.themeOverride+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theme/themeOverride2.xml" ContentType="application/vnd.openxmlformats-officedocument.themeOverride+xml"/>
  <Override PartName="/xl/charts/chart4.xml" ContentType="application/vnd.openxmlformats-officedocument.drawingml.chart+xml"/>
  <Override PartName="/xl/drawings/drawing6.xml" ContentType="application/vnd.openxmlformats-officedocument.drawingml.chartshapes+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comments6.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hartsheets/sheet6.xml" ContentType="application/vnd.openxmlformats-officedocument.spreadsheetml.chartsheet+xml"/>
  <Override PartName="/xl/comments2.xml" ContentType="application/vnd.openxmlformats-officedocument.spreadsheetml.comments+xml"/>
  <Override PartName="/xl/worksheets/sheet1.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hartsheets/sheet1.xml" ContentType="application/vnd.openxmlformats-officedocument.spreadsheetml.chart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theme/themeOverride5.xml" ContentType="application/vnd.openxmlformats-officedocument.themeOverride+xml"/>
  <Override PartName="/xl/drawings/drawing9.xml" ContentType="application/vnd.openxmlformats-officedocument.drawing+xml"/>
  <Override PartName="/xl/charts/chart7.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comments9.xml" ContentType="application/vnd.openxmlformats-officedocument.spreadsheetml.comments+xml"/>
  <Override PartName="/xl/theme/themeOverride3.xml" ContentType="application/vnd.openxmlformats-officedocument.themeOverride+xml"/>
  <Override PartName="/xl/drawings/drawing7.xml" ContentType="application/vnd.openxmlformats-officedocument.drawing+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comments7.xml" ContentType="application/vnd.openxmlformats-officedocument.spreadsheetml.comments+xml"/>
  <Override PartName="/xl/theme/themeOverride1.xml" ContentType="application/vnd.openxmlformats-officedocument.themeOverride+xml"/>
  <Override PartName="/xl/charts/chart3.xml" ContentType="application/vnd.openxmlformats-officedocument.drawingml.char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chartsheets/sheet7.xml" ContentType="application/vnd.openxmlformats-officedocument.spreadsheetml.chartsheet+xml"/>
  <Override PartName="/xl/comments3.xml" ContentType="application/vnd.openxmlformats-officedocument.spreadsheetml.comment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80" yWindow="150" windowWidth="19320" windowHeight="12060"/>
  </bookViews>
  <sheets>
    <sheet name="README" sheetId="10" r:id="rId1"/>
    <sheet name="Tbl3.3" sheetId="16" r:id="rId2"/>
    <sheet name="UIElg" sheetId="1" r:id="rId3"/>
    <sheet name="UIBen" sheetId="4" r:id="rId4"/>
    <sheet name="UIWeights" sheetId="7" r:id="rId5"/>
    <sheet name="SNAPElg" sheetId="15" r:id="rId6"/>
    <sheet name="SNAPBen" sheetId="14" r:id="rId7"/>
    <sheet name="SNAPWeights" sheetId="9" r:id="rId8"/>
    <sheet name="MedicaidElgBen" sheetId="17" r:id="rId9"/>
    <sheet name="MedicaidWeights" sheetId="12" r:id="rId10"/>
    <sheet name="OtherElgBen" sheetId="18" r:id="rId11"/>
    <sheet name="LFSWeights" sheetId="13" r:id="rId12"/>
    <sheet name="Tbl3.5" sheetId="6" r:id="rId13"/>
    <sheet name="GovGener" sheetId="19" r:id="rId14"/>
    <sheet name="AvgMargWorker" sheetId="22" r:id="rId15"/>
    <sheet name="Decomposition" sheetId="30" r:id="rId16"/>
    <sheet name="Ch6Output" sheetId="32" r:id="rId17"/>
    <sheet name="Ch3TextBackup" sheetId="33" r:id="rId18"/>
    <sheet name="FREDconnect" sheetId="5" r:id="rId19"/>
    <sheet name="CPSMORG" sheetId="8" r:id="rId20"/>
    <sheet name="vshours" sheetId="11" r:id="rId21"/>
    <sheet name="Quarterly" sheetId="27" r:id="rId22"/>
    <sheet name="Fig1.1" sheetId="20" r:id="rId23"/>
    <sheet name="Fig3.2" sheetId="24" r:id="rId24"/>
    <sheet name="Fig3.3" sheetId="25" r:id="rId25"/>
    <sheet name="Fig3.4" sheetId="21" r:id="rId26"/>
    <sheet name="Fig3.6" sheetId="23" r:id="rId27"/>
    <sheet name="Fig3.7" sheetId="28" r:id="rId28"/>
    <sheet name="Tbl3.8" sheetId="29" r:id="rId29"/>
    <sheet name="Tbl3.9" sheetId="26" r:id="rId30"/>
    <sheet name="Fig11.2" sheetId="31" r:id="rId31"/>
  </sheets>
  <externalReferences>
    <externalReference r:id="rId32"/>
  </externalReferences>
  <definedNames>
    <definedName name="chartdatesq">OFFSET([1]Summary!$A$10,0,0,[1]Summary!$A$4)</definedName>
  </definedNames>
  <calcPr calcId="125725"/>
</workbook>
</file>

<file path=xl/calcChain.xml><?xml version="1.0" encoding="utf-8"?>
<calcChain xmlns="http://schemas.openxmlformats.org/spreadsheetml/2006/main">
  <c r="C23" i="4"/>
  <c r="B11"/>
  <c r="B5" i="13"/>
  <c r="B7"/>
  <c r="B6"/>
  <c r="D17" i="22" l="1"/>
  <c r="A31" i="33"/>
  <c r="B31" s="1"/>
  <c r="A21"/>
  <c r="B21" s="1"/>
  <c r="A20"/>
  <c r="B20" s="1"/>
  <c r="A7" l="1"/>
  <c r="A5"/>
  <c r="B5" s="1"/>
  <c r="A4"/>
  <c r="B4" s="1"/>
  <c r="A3"/>
  <c r="B3" s="1"/>
  <c r="B7" l="1"/>
  <c r="B32"/>
  <c r="B109" i="15"/>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50"/>
  <c r="B38"/>
  <c r="B20"/>
  <c r="B136" s="1"/>
  <c r="B39" l="1"/>
  <c r="B51"/>
  <c r="B32"/>
  <c r="B44"/>
  <c r="B56"/>
  <c r="B33"/>
  <c r="B45"/>
  <c r="B57"/>
  <c r="B34"/>
  <c r="B46"/>
  <c r="B58"/>
  <c r="B29"/>
  <c r="B35"/>
  <c r="B41"/>
  <c r="B47"/>
  <c r="B53"/>
  <c r="B59"/>
  <c r="B113"/>
  <c r="B119"/>
  <c r="B125"/>
  <c r="B131"/>
  <c r="B30"/>
  <c r="B36"/>
  <c r="B42"/>
  <c r="B48"/>
  <c r="B54"/>
  <c r="B60"/>
  <c r="B114"/>
  <c r="B120"/>
  <c r="B126"/>
  <c r="B132"/>
  <c r="B40"/>
  <c r="B52"/>
  <c r="B31"/>
  <c r="B37"/>
  <c r="B43"/>
  <c r="B49"/>
  <c r="B55"/>
  <c r="B61"/>
  <c r="B115"/>
  <c r="B121"/>
  <c r="B127"/>
  <c r="B133"/>
  <c r="B110"/>
  <c r="B116"/>
  <c r="B122"/>
  <c r="B128"/>
  <c r="B134"/>
  <c r="B111"/>
  <c r="B117"/>
  <c r="B123"/>
  <c r="B129"/>
  <c r="B135"/>
  <c r="B112"/>
  <c r="B118"/>
  <c r="B124"/>
  <c r="B130"/>
  <c r="B27"/>
  <c r="C11" i="9"/>
  <c r="B8"/>
  <c r="C8"/>
  <c r="C5"/>
  <c r="B5"/>
  <c r="C12" l="1"/>
  <c r="A13" i="33"/>
  <c r="B15" i="32"/>
  <c r="B18"/>
  <c r="B10"/>
  <c r="B7"/>
  <c r="B25" i="10"/>
  <c r="C7" i="30"/>
  <c r="B7"/>
  <c r="B41" i="10"/>
  <c r="D7" i="30" l="1"/>
  <c r="H12" s="1"/>
  <c r="B13" i="6"/>
  <c r="D13"/>
  <c r="C13"/>
  <c r="K141" i="15" l="1"/>
  <c r="K142"/>
  <c r="K143"/>
  <c r="C13" i="32"/>
  <c r="K144" i="15"/>
  <c r="A1" i="29"/>
  <c r="B39" i="10" s="1"/>
  <c r="M29" i="27"/>
  <c r="M28"/>
  <c r="M27"/>
  <c r="M26"/>
  <c r="M25"/>
  <c r="M24"/>
  <c r="M23"/>
  <c r="M22"/>
  <c r="M21"/>
  <c r="M20"/>
  <c r="M19"/>
  <c r="M18"/>
  <c r="M17"/>
  <c r="M16"/>
  <c r="M15"/>
  <c r="M14"/>
  <c r="M13"/>
  <c r="M12"/>
  <c r="M11"/>
  <c r="M10"/>
  <c r="M9"/>
  <c r="M8"/>
  <c r="M7"/>
  <c r="M6"/>
  <c r="D12"/>
  <c r="D11"/>
  <c r="D10"/>
  <c r="D29"/>
  <c r="D28"/>
  <c r="D27"/>
  <c r="D26"/>
  <c r="D25"/>
  <c r="D24"/>
  <c r="D23"/>
  <c r="D22"/>
  <c r="D21"/>
  <c r="D20"/>
  <c r="D19"/>
  <c r="D18"/>
  <c r="D17"/>
  <c r="D16"/>
  <c r="D15"/>
  <c r="D14"/>
  <c r="D13"/>
  <c r="E3" l="1"/>
  <c r="A1"/>
  <c r="B38" i="10" s="1"/>
  <c r="E28" i="27" l="1"/>
  <c r="E25"/>
  <c r="E22"/>
  <c r="E19"/>
  <c r="E16"/>
  <c r="E13"/>
  <c r="E27"/>
  <c r="E24"/>
  <c r="E21"/>
  <c r="E18"/>
  <c r="E15"/>
  <c r="E12"/>
  <c r="E11"/>
  <c r="E29"/>
  <c r="E26"/>
  <c r="E23"/>
  <c r="E20"/>
  <c r="E17"/>
  <c r="E14"/>
  <c r="E10"/>
  <c r="H43" i="26"/>
  <c r="H42"/>
  <c r="H41"/>
  <c r="H40"/>
  <c r="H39"/>
  <c r="H38"/>
  <c r="H37"/>
  <c r="H36"/>
  <c r="H35"/>
  <c r="H34"/>
  <c r="H33"/>
  <c r="H32"/>
  <c r="H31"/>
  <c r="H30"/>
  <c r="H29"/>
  <c r="H28"/>
  <c r="H27"/>
  <c r="H26"/>
  <c r="H25"/>
  <c r="H24"/>
  <c r="H23"/>
  <c r="H22"/>
  <c r="H21"/>
  <c r="H20"/>
  <c r="H19"/>
  <c r="H18"/>
  <c r="H17"/>
  <c r="H16"/>
  <c r="H15"/>
  <c r="H14"/>
  <c r="H13"/>
  <c r="H12"/>
  <c r="H11"/>
  <c r="H10"/>
  <c r="H9"/>
  <c r="H8"/>
  <c r="A43"/>
  <c r="A42"/>
  <c r="A41"/>
  <c r="A40"/>
  <c r="A39"/>
  <c r="A38"/>
  <c r="A37"/>
  <c r="A36"/>
  <c r="A35"/>
  <c r="A34"/>
  <c r="A33"/>
  <c r="A32"/>
  <c r="A31"/>
  <c r="A30"/>
  <c r="A29"/>
  <c r="A28"/>
  <c r="A27"/>
  <c r="A26"/>
  <c r="A25"/>
  <c r="A24"/>
  <c r="A23"/>
  <c r="A22"/>
  <c r="A21"/>
  <c r="A20"/>
  <c r="A19"/>
  <c r="A18"/>
  <c r="A17"/>
  <c r="A16"/>
  <c r="A15"/>
  <c r="A14"/>
  <c r="A13"/>
  <c r="A12"/>
  <c r="A11"/>
  <c r="A10"/>
  <c r="A9"/>
  <c r="A8"/>
  <c r="A1"/>
  <c r="B40" i="10" s="1"/>
  <c r="E24" i="22" l="1"/>
  <c r="E23"/>
  <c r="D24"/>
  <c r="D23"/>
  <c r="B9" i="17"/>
  <c r="C22" i="12"/>
  <c r="B22"/>
  <c r="C23"/>
  <c r="B23"/>
  <c r="B7" i="17"/>
  <c r="D16" i="22"/>
  <c r="C5"/>
  <c r="B5"/>
  <c r="C20"/>
  <c r="B20"/>
  <c r="C19"/>
  <c r="B19"/>
  <c r="C18"/>
  <c r="B18"/>
  <c r="C30"/>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B92"/>
  <c r="B27"/>
  <c r="E131" l="1"/>
  <c r="B93"/>
  <c r="B94" s="1"/>
  <c r="B95" s="1"/>
  <c r="B96" s="1"/>
  <c r="B97" s="1"/>
  <c r="B98" s="1"/>
  <c r="B99" s="1"/>
  <c r="B100" s="1"/>
  <c r="B101" s="1"/>
  <c r="B102" s="1"/>
  <c r="B103" s="1"/>
  <c r="B104" s="1"/>
  <c r="B105" s="1"/>
  <c r="B106" s="1"/>
  <c r="B107" s="1"/>
  <c r="B108" s="1"/>
  <c r="B109" s="1"/>
  <c r="B110" s="1"/>
  <c r="B111" s="1"/>
  <c r="B112" s="1"/>
  <c r="B113" s="1"/>
  <c r="B114" s="1"/>
  <c r="B115" s="1"/>
  <c r="B116" s="1"/>
  <c r="B117" s="1"/>
  <c r="B118" s="1"/>
  <c r="B119" s="1"/>
  <c r="B120" s="1"/>
  <c r="B121" s="1"/>
  <c r="B122" s="1"/>
  <c r="B123" s="1"/>
  <c r="B124" s="1"/>
  <c r="B125" s="1"/>
  <c r="B126" s="1"/>
  <c r="B127" s="1"/>
  <c r="B128" s="1"/>
  <c r="B129" s="1"/>
  <c r="B130" s="1"/>
  <c r="B131" s="1"/>
  <c r="B132" s="1"/>
  <c r="B133" s="1"/>
  <c r="B134" s="1"/>
  <c r="B135" s="1"/>
  <c r="B136" s="1"/>
  <c r="A19" i="33"/>
  <c r="B19" s="1"/>
  <c r="D19" i="22"/>
  <c r="E43"/>
  <c r="E79"/>
  <c r="E49"/>
  <c r="E85"/>
  <c r="E55"/>
  <c r="E115"/>
  <c r="E61"/>
  <c r="E121"/>
  <c r="D18"/>
  <c r="B19" i="32" s="1"/>
  <c r="B6" i="22"/>
  <c r="E31"/>
  <c r="E67"/>
  <c r="E127"/>
  <c r="E37"/>
  <c r="E73"/>
  <c r="E133"/>
  <c r="E30"/>
  <c r="E36"/>
  <c r="E42"/>
  <c r="E48"/>
  <c r="E54"/>
  <c r="E60"/>
  <c r="E66"/>
  <c r="E72"/>
  <c r="E78"/>
  <c r="E84"/>
  <c r="E114"/>
  <c r="E120"/>
  <c r="E126"/>
  <c r="E132"/>
  <c r="E32"/>
  <c r="E38"/>
  <c r="E44"/>
  <c r="E50"/>
  <c r="E56"/>
  <c r="E62"/>
  <c r="E68"/>
  <c r="E74"/>
  <c r="E80"/>
  <c r="E86"/>
  <c r="E116"/>
  <c r="E122"/>
  <c r="E128"/>
  <c r="E134"/>
  <c r="E33"/>
  <c r="E39"/>
  <c r="E45"/>
  <c r="E51"/>
  <c r="E57"/>
  <c r="E63"/>
  <c r="E69"/>
  <c r="E75"/>
  <c r="E81"/>
  <c r="E87"/>
  <c r="E117"/>
  <c r="E123"/>
  <c r="E129"/>
  <c r="E135"/>
  <c r="E34"/>
  <c r="E40"/>
  <c r="E46"/>
  <c r="E52"/>
  <c r="E58"/>
  <c r="E64"/>
  <c r="E70"/>
  <c r="E76"/>
  <c r="E82"/>
  <c r="E88"/>
  <c r="E118"/>
  <c r="E124"/>
  <c r="E130"/>
  <c r="E136"/>
  <c r="E29"/>
  <c r="E35"/>
  <c r="E41"/>
  <c r="E47"/>
  <c r="E53"/>
  <c r="E59"/>
  <c r="E65"/>
  <c r="E71"/>
  <c r="E77"/>
  <c r="E83"/>
  <c r="E113"/>
  <c r="E119"/>
  <c r="E125"/>
  <c r="C75"/>
  <c r="C76" s="1"/>
  <c r="C77" s="1"/>
  <c r="C78" s="1"/>
  <c r="C79" s="1"/>
  <c r="C80" s="1"/>
  <c r="C81" s="1"/>
  <c r="C82" s="1"/>
  <c r="C83" s="1"/>
  <c r="C84" s="1"/>
  <c r="C85" s="1"/>
  <c r="C86" s="1"/>
  <c r="C87" s="1"/>
  <c r="C88" s="1"/>
  <c r="C89" s="1"/>
  <c r="C90" s="1"/>
  <c r="C91" s="1"/>
  <c r="C92" s="1"/>
  <c r="C93" s="1"/>
  <c r="C94" s="1"/>
  <c r="C95" s="1"/>
  <c r="C96" s="1"/>
  <c r="C97" s="1"/>
  <c r="C98" s="1"/>
  <c r="C99" s="1"/>
  <c r="C100" s="1"/>
  <c r="C101" s="1"/>
  <c r="C102" s="1"/>
  <c r="C103" s="1"/>
  <c r="C104" s="1"/>
  <c r="C105" s="1"/>
  <c r="C106" s="1"/>
  <c r="C107" s="1"/>
  <c r="C108" s="1"/>
  <c r="C109" s="1"/>
  <c r="C110" s="1"/>
  <c r="C111" s="1"/>
  <c r="C112" s="1"/>
  <c r="C113" s="1"/>
  <c r="C114" s="1"/>
  <c r="C115" s="1"/>
  <c r="C116" s="1"/>
  <c r="C117" s="1"/>
  <c r="C118" s="1"/>
  <c r="C119" s="1"/>
  <c r="C120" s="1"/>
  <c r="C121" s="1"/>
  <c r="C122" s="1"/>
  <c r="C123" s="1"/>
  <c r="C124" s="1"/>
  <c r="C125" s="1"/>
  <c r="C126" s="1"/>
  <c r="C127" s="1"/>
  <c r="C128" s="1"/>
  <c r="C129" s="1"/>
  <c r="C130" s="1"/>
  <c r="C131" s="1"/>
  <c r="C132" s="1"/>
  <c r="C133" s="1"/>
  <c r="C134" s="1"/>
  <c r="C135" s="1"/>
  <c r="C136" s="1"/>
  <c r="C27"/>
  <c r="B9" i="32" l="1"/>
  <c r="A18" i="33"/>
  <c r="B18" s="1"/>
  <c r="B7" i="22"/>
  <c r="B9" s="1"/>
  <c r="A22" i="33" s="1"/>
  <c r="B22" s="1"/>
  <c r="D96" i="22"/>
  <c r="D60"/>
  <c r="D128"/>
  <c r="D119"/>
  <c r="D83"/>
  <c r="D47"/>
  <c r="D92"/>
  <c r="D112"/>
  <c r="D76"/>
  <c r="D40"/>
  <c r="D44"/>
  <c r="D105"/>
  <c r="D69"/>
  <c r="D33"/>
  <c r="D121"/>
  <c r="D85"/>
  <c r="D49"/>
  <c r="D62"/>
  <c r="D84"/>
  <c r="D48"/>
  <c r="D80"/>
  <c r="D107"/>
  <c r="D71"/>
  <c r="D35"/>
  <c r="D136"/>
  <c r="D100"/>
  <c r="D64"/>
  <c r="D129"/>
  <c r="D93"/>
  <c r="D57"/>
  <c r="D68"/>
  <c r="D109"/>
  <c r="D73"/>
  <c r="D37"/>
  <c r="B8"/>
  <c r="A27" i="33" s="1"/>
  <c r="B27" s="1"/>
  <c r="B11" i="22"/>
  <c r="F29" s="1"/>
  <c r="F30" s="1"/>
  <c r="F31" s="1"/>
  <c r="F32" s="1"/>
  <c r="F33" s="1"/>
  <c r="F34" s="1"/>
  <c r="F35" s="1"/>
  <c r="F36" s="1"/>
  <c r="F37" s="1"/>
  <c r="F38" s="1"/>
  <c r="F39" s="1"/>
  <c r="F40" s="1"/>
  <c r="F41" s="1"/>
  <c r="F42" s="1"/>
  <c r="F43" s="1"/>
  <c r="F44" s="1"/>
  <c r="F45" s="1"/>
  <c r="F46" s="1"/>
  <c r="F47" s="1"/>
  <c r="F48" s="1"/>
  <c r="F49" s="1"/>
  <c r="F50" s="1"/>
  <c r="F51" s="1"/>
  <c r="F52" s="1"/>
  <c r="F53" s="1"/>
  <c r="F54" s="1"/>
  <c r="F55" s="1"/>
  <c r="F56" s="1"/>
  <c r="F57" s="1"/>
  <c r="F58" s="1"/>
  <c r="F59" s="1"/>
  <c r="F60" s="1"/>
  <c r="F61" s="1"/>
  <c r="F62" s="1"/>
  <c r="F63" s="1"/>
  <c r="F64" s="1"/>
  <c r="F65" s="1"/>
  <c r="F66" s="1"/>
  <c r="F67" s="1"/>
  <c r="F68" s="1"/>
  <c r="F69" s="1"/>
  <c r="F70" s="1"/>
  <c r="F71" s="1"/>
  <c r="F72" s="1"/>
  <c r="F73" s="1"/>
  <c r="F74" s="1"/>
  <c r="B10"/>
  <c r="A23" i="33" s="1"/>
  <c r="B23" s="1"/>
  <c r="D114" i="22"/>
  <c r="D78"/>
  <c r="D42"/>
  <c r="D50"/>
  <c r="D101"/>
  <c r="D65"/>
  <c r="D29"/>
  <c r="D130"/>
  <c r="D94"/>
  <c r="D58"/>
  <c r="D116"/>
  <c r="D123"/>
  <c r="D87"/>
  <c r="D51"/>
  <c r="D32"/>
  <c r="D103"/>
  <c r="D67"/>
  <c r="D31"/>
  <c r="D108"/>
  <c r="D72"/>
  <c r="D36"/>
  <c r="D131"/>
  <c r="D95"/>
  <c r="D59"/>
  <c r="D124"/>
  <c r="D88"/>
  <c r="D52"/>
  <c r="D98"/>
  <c r="D117"/>
  <c r="D81"/>
  <c r="D45"/>
  <c r="D133"/>
  <c r="D97"/>
  <c r="D61"/>
  <c r="D110"/>
  <c r="D102"/>
  <c r="D66"/>
  <c r="D30"/>
  <c r="D125"/>
  <c r="D89"/>
  <c r="D53"/>
  <c r="D122"/>
  <c r="D118"/>
  <c r="D82"/>
  <c r="D46"/>
  <c r="D74"/>
  <c r="E27"/>
  <c r="D111"/>
  <c r="D75"/>
  <c r="D39"/>
  <c r="D127"/>
  <c r="D91"/>
  <c r="D55"/>
  <c r="D86"/>
  <c r="K5" i="18"/>
  <c r="B36" i="10" s="1"/>
  <c r="K4" i="18"/>
  <c r="B35" i="10" s="1"/>
  <c r="K3" i="18"/>
  <c r="B34" i="10" s="1"/>
  <c r="D132" i="22" l="1"/>
  <c r="D90"/>
  <c r="D56"/>
  <c r="D104"/>
  <c r="D120"/>
  <c r="D38"/>
  <c r="D134"/>
  <c r="D34"/>
  <c r="D41"/>
  <c r="D54"/>
  <c r="D43"/>
  <c r="D63"/>
  <c r="D70"/>
  <c r="D77"/>
  <c r="D79"/>
  <c r="D99"/>
  <c r="D106"/>
  <c r="D113"/>
  <c r="D115"/>
  <c r="D135"/>
  <c r="D126"/>
  <c r="F75"/>
  <c r="F76" s="1"/>
  <c r="F77" s="1"/>
  <c r="F78" s="1"/>
  <c r="F79" s="1"/>
  <c r="F80" s="1"/>
  <c r="F81" s="1"/>
  <c r="F82" s="1"/>
  <c r="F83" s="1"/>
  <c r="F84" s="1"/>
  <c r="F85" s="1"/>
  <c r="F86" s="1"/>
  <c r="F87" s="1"/>
  <c r="F88" s="1"/>
  <c r="F89" s="1"/>
  <c r="F90" s="1"/>
  <c r="F91" s="1"/>
  <c r="F92" s="1"/>
  <c r="F93" s="1"/>
  <c r="F94" s="1"/>
  <c r="F95" s="1"/>
  <c r="F96" s="1"/>
  <c r="F97" s="1"/>
  <c r="F98" s="1"/>
  <c r="F99" s="1"/>
  <c r="F100" s="1"/>
  <c r="F101" s="1"/>
  <c r="F102" s="1"/>
  <c r="F103" s="1"/>
  <c r="F104" s="1"/>
  <c r="F105" s="1"/>
  <c r="F106" s="1"/>
  <c r="F107" s="1"/>
  <c r="F108" s="1"/>
  <c r="F109" s="1"/>
  <c r="F110" s="1"/>
  <c r="F111" s="1"/>
  <c r="F112" s="1"/>
  <c r="F113" s="1"/>
  <c r="F114" s="1"/>
  <c r="F115" s="1"/>
  <c r="F116" s="1"/>
  <c r="F117" s="1"/>
  <c r="F118" s="1"/>
  <c r="F119" s="1"/>
  <c r="F120" s="1"/>
  <c r="F121" s="1"/>
  <c r="F122" s="1"/>
  <c r="F123" s="1"/>
  <c r="F124" s="1"/>
  <c r="F125" s="1"/>
  <c r="F126" s="1"/>
  <c r="F127" s="1"/>
  <c r="F128" s="1"/>
  <c r="F129" s="1"/>
  <c r="F130" s="1"/>
  <c r="F131" s="1"/>
  <c r="F132" s="1"/>
  <c r="F133" s="1"/>
  <c r="F134" s="1"/>
  <c r="F135" s="1"/>
  <c r="F136" s="1"/>
  <c r="E109"/>
  <c r="E97"/>
  <c r="E103"/>
  <c r="E91"/>
  <c r="E90"/>
  <c r="E110"/>
  <c r="E94"/>
  <c r="E107"/>
  <c r="E89"/>
  <c r="E98"/>
  <c r="E95"/>
  <c r="E96"/>
  <c r="E100"/>
  <c r="E102"/>
  <c r="E93"/>
  <c r="E106"/>
  <c r="E108"/>
  <c r="E92"/>
  <c r="E99"/>
  <c r="E112"/>
  <c r="E105"/>
  <c r="E104"/>
  <c r="E111"/>
  <c r="E101"/>
  <c r="F3" i="11"/>
  <c r="F19" s="1"/>
  <c r="B22" i="10"/>
  <c r="B18"/>
  <c r="D27" i="22" l="1"/>
  <c r="F27"/>
  <c r="F18" i="11"/>
  <c r="F72"/>
  <c r="F64"/>
  <c r="F58"/>
  <c r="F46"/>
  <c r="F22"/>
  <c r="F76"/>
  <c r="F70"/>
  <c r="F60"/>
  <c r="F52"/>
  <c r="F42"/>
  <c r="F59"/>
  <c r="F74"/>
  <c r="F62"/>
  <c r="F50"/>
  <c r="F73"/>
  <c r="F68"/>
  <c r="F56"/>
  <c r="F38"/>
  <c r="F66"/>
  <c r="F54"/>
  <c r="F30"/>
  <c r="F48"/>
  <c r="F44"/>
  <c r="F40"/>
  <c r="F34"/>
  <c r="F26"/>
  <c r="F77"/>
  <c r="F67"/>
  <c r="F45"/>
  <c r="F36"/>
  <c r="F32"/>
  <c r="F28"/>
  <c r="F24"/>
  <c r="F20"/>
  <c r="F75"/>
  <c r="F71"/>
  <c r="F63"/>
  <c r="F53"/>
  <c r="F37"/>
  <c r="F69"/>
  <c r="F65"/>
  <c r="F61"/>
  <c r="F57"/>
  <c r="F49"/>
  <c r="F41"/>
  <c r="F33"/>
  <c r="F55"/>
  <c r="F51"/>
  <c r="F47"/>
  <c r="F43"/>
  <c r="F39"/>
  <c r="F35"/>
  <c r="F25"/>
  <c r="F29"/>
  <c r="F21"/>
  <c r="F31"/>
  <c r="F27"/>
  <c r="F23"/>
  <c r="B22" i="19"/>
  <c r="B21"/>
  <c r="B16" i="10" l="1"/>
  <c r="B136" i="17" l="1"/>
  <c r="B135"/>
  <c r="B134"/>
  <c r="B133"/>
  <c r="B132"/>
  <c r="B131"/>
  <c r="B130"/>
  <c r="B129"/>
  <c r="B128"/>
  <c r="B127"/>
  <c r="B126"/>
  <c r="B125"/>
  <c r="B20"/>
  <c r="B121" s="1"/>
  <c r="D16" i="16"/>
  <c r="D24"/>
  <c r="I16"/>
  <c r="I12"/>
  <c r="I8"/>
  <c r="B42"/>
  <c r="D37"/>
  <c r="B37"/>
  <c r="I33"/>
  <c r="G33"/>
  <c r="B33"/>
  <c r="G29"/>
  <c r="B24"/>
  <c r="G20"/>
  <c r="B20"/>
  <c r="G16"/>
  <c r="B16"/>
  <c r="G12"/>
  <c r="B12"/>
  <c r="G8"/>
  <c r="B8"/>
  <c r="A1"/>
  <c r="B9" i="10" s="1"/>
  <c r="C12" i="32"/>
  <c r="B13" i="10"/>
  <c r="B3" i="14"/>
  <c r="B31" i="17" l="1"/>
  <c r="K140" i="15"/>
  <c r="B35" i="17"/>
  <c r="D8" i="26"/>
  <c r="D10"/>
  <c r="D12"/>
  <c r="D14"/>
  <c r="D16"/>
  <c r="D18"/>
  <c r="D20"/>
  <c r="D22"/>
  <c r="D24"/>
  <c r="D26"/>
  <c r="D28"/>
  <c r="D30"/>
  <c r="D32"/>
  <c r="D34"/>
  <c r="D36"/>
  <c r="D38"/>
  <c r="D40"/>
  <c r="D42"/>
  <c r="K8"/>
  <c r="K10"/>
  <c r="K12"/>
  <c r="K14"/>
  <c r="K16"/>
  <c r="K18"/>
  <c r="K20"/>
  <c r="K22"/>
  <c r="K24"/>
  <c r="K26"/>
  <c r="K28"/>
  <c r="K30"/>
  <c r="K32"/>
  <c r="K34"/>
  <c r="K36"/>
  <c r="K38"/>
  <c r="K40"/>
  <c r="K42"/>
  <c r="D9"/>
  <c r="D11"/>
  <c r="D13"/>
  <c r="D15"/>
  <c r="D17"/>
  <c r="D19"/>
  <c r="D21"/>
  <c r="D23"/>
  <c r="D25"/>
  <c r="D27"/>
  <c r="D29"/>
  <c r="D31"/>
  <c r="D33"/>
  <c r="D35"/>
  <c r="D37"/>
  <c r="D39"/>
  <c r="D41"/>
  <c r="D43"/>
  <c r="K9"/>
  <c r="K11"/>
  <c r="K13"/>
  <c r="K15"/>
  <c r="K17"/>
  <c r="K19"/>
  <c r="K21"/>
  <c r="K23"/>
  <c r="K25"/>
  <c r="K27"/>
  <c r="K29"/>
  <c r="K31"/>
  <c r="K33"/>
  <c r="K35"/>
  <c r="K37"/>
  <c r="K39"/>
  <c r="K41"/>
  <c r="K43"/>
  <c r="K45" s="1"/>
  <c r="B33" i="17"/>
  <c r="B41"/>
  <c r="B57"/>
  <c r="B30"/>
  <c r="B34"/>
  <c r="B38"/>
  <c r="B42"/>
  <c r="B46"/>
  <c r="B50"/>
  <c r="B54"/>
  <c r="B58"/>
  <c r="B62"/>
  <c r="B66"/>
  <c r="B70"/>
  <c r="B74"/>
  <c r="B78"/>
  <c r="B82"/>
  <c r="B86"/>
  <c r="B90"/>
  <c r="B94"/>
  <c r="B98"/>
  <c r="B102"/>
  <c r="B106"/>
  <c r="B110"/>
  <c r="B114"/>
  <c r="B118"/>
  <c r="B122"/>
  <c r="B39"/>
  <c r="B43"/>
  <c r="B47"/>
  <c r="B51"/>
  <c r="B55"/>
  <c r="B59"/>
  <c r="B63"/>
  <c r="B67"/>
  <c r="B71"/>
  <c r="B75"/>
  <c r="B79"/>
  <c r="B83"/>
  <c r="B87"/>
  <c r="B91"/>
  <c r="B95"/>
  <c r="B99"/>
  <c r="B103"/>
  <c r="B107"/>
  <c r="B111"/>
  <c r="B115"/>
  <c r="B119"/>
  <c r="B123"/>
  <c r="B29"/>
  <c r="B32"/>
  <c r="B36"/>
  <c r="B40"/>
  <c r="B44"/>
  <c r="B48"/>
  <c r="B52"/>
  <c r="B56"/>
  <c r="B60"/>
  <c r="B64"/>
  <c r="B68"/>
  <c r="B72"/>
  <c r="B76"/>
  <c r="B80"/>
  <c r="B84"/>
  <c r="B88"/>
  <c r="B92"/>
  <c r="B96"/>
  <c r="B100"/>
  <c r="B104"/>
  <c r="B108"/>
  <c r="B112"/>
  <c r="B116"/>
  <c r="B120"/>
  <c r="B124"/>
  <c r="B37"/>
  <c r="B45"/>
  <c r="B49"/>
  <c r="B53"/>
  <c r="B61"/>
  <c r="B65"/>
  <c r="B69"/>
  <c r="B73"/>
  <c r="B77"/>
  <c r="B81"/>
  <c r="B85"/>
  <c r="B89"/>
  <c r="B93"/>
  <c r="B97"/>
  <c r="B101"/>
  <c r="B105"/>
  <c r="B109"/>
  <c r="B113"/>
  <c r="B117"/>
  <c r="B27" i="18"/>
  <c r="K119" s="1"/>
  <c r="B14" i="10"/>
  <c r="B10" i="14"/>
  <c r="F136"/>
  <c r="E136"/>
  <c r="D136"/>
  <c r="C136"/>
  <c r="F135"/>
  <c r="E135"/>
  <c r="D135"/>
  <c r="C135"/>
  <c r="F134"/>
  <c r="E134"/>
  <c r="D134"/>
  <c r="C134"/>
  <c r="F133"/>
  <c r="E133"/>
  <c r="D133"/>
  <c r="C133"/>
  <c r="F132"/>
  <c r="E132"/>
  <c r="D132"/>
  <c r="C132"/>
  <c r="F131"/>
  <c r="E131"/>
  <c r="D131"/>
  <c r="C131"/>
  <c r="F130"/>
  <c r="E130"/>
  <c r="D130"/>
  <c r="C130"/>
  <c r="F129"/>
  <c r="E129"/>
  <c r="D129"/>
  <c r="C129"/>
  <c r="F128"/>
  <c r="E128"/>
  <c r="D128"/>
  <c r="C128"/>
  <c r="F127"/>
  <c r="E127"/>
  <c r="D127"/>
  <c r="C127"/>
  <c r="F126"/>
  <c r="E126"/>
  <c r="D126"/>
  <c r="C126"/>
  <c r="F125"/>
  <c r="E125"/>
  <c r="D125"/>
  <c r="C125"/>
  <c r="F124"/>
  <c r="E124"/>
  <c r="D124"/>
  <c r="C124"/>
  <c r="F123"/>
  <c r="E123"/>
  <c r="D123"/>
  <c r="C123"/>
  <c r="F122"/>
  <c r="E122"/>
  <c r="D122"/>
  <c r="C122"/>
  <c r="F121"/>
  <c r="E121"/>
  <c r="D121"/>
  <c r="C121"/>
  <c r="F120"/>
  <c r="E120"/>
  <c r="D120"/>
  <c r="C120"/>
  <c r="F119"/>
  <c r="E119"/>
  <c r="D119"/>
  <c r="C119"/>
  <c r="F118"/>
  <c r="E118"/>
  <c r="D118"/>
  <c r="C118"/>
  <c r="F117"/>
  <c r="E117"/>
  <c r="D117"/>
  <c r="C117"/>
  <c r="F116"/>
  <c r="E116"/>
  <c r="D116"/>
  <c r="C116"/>
  <c r="F115"/>
  <c r="E115"/>
  <c r="D115"/>
  <c r="C115"/>
  <c r="F114"/>
  <c r="E114"/>
  <c r="D114"/>
  <c r="C114"/>
  <c r="F113"/>
  <c r="E113"/>
  <c r="D113"/>
  <c r="C113"/>
  <c r="F112"/>
  <c r="E112"/>
  <c r="D112"/>
  <c r="C112"/>
  <c r="F111"/>
  <c r="E111"/>
  <c r="D111"/>
  <c r="C111"/>
  <c r="F110"/>
  <c r="E110"/>
  <c r="D110"/>
  <c r="C110"/>
  <c r="F109"/>
  <c r="E109"/>
  <c r="D109"/>
  <c r="C109"/>
  <c r="F108"/>
  <c r="E108"/>
  <c r="D108"/>
  <c r="C108"/>
  <c r="F107"/>
  <c r="E107"/>
  <c r="D107"/>
  <c r="C107"/>
  <c r="F106"/>
  <c r="E106"/>
  <c r="D106"/>
  <c r="C106"/>
  <c r="F105"/>
  <c r="E105"/>
  <c r="D105"/>
  <c r="C105"/>
  <c r="F104"/>
  <c r="E104"/>
  <c r="D104"/>
  <c r="C104"/>
  <c r="F103"/>
  <c r="E103"/>
  <c r="D103"/>
  <c r="C103"/>
  <c r="F102"/>
  <c r="E102"/>
  <c r="D102"/>
  <c r="C102"/>
  <c r="F101"/>
  <c r="E101"/>
  <c r="D101"/>
  <c r="C101"/>
  <c r="F100"/>
  <c r="E100"/>
  <c r="D100"/>
  <c r="C100"/>
  <c r="F99"/>
  <c r="E99"/>
  <c r="D99"/>
  <c r="C99"/>
  <c r="F98"/>
  <c r="E98"/>
  <c r="D98"/>
  <c r="C98"/>
  <c r="F97"/>
  <c r="E97"/>
  <c r="D97"/>
  <c r="C97"/>
  <c r="F96"/>
  <c r="E96"/>
  <c r="D96"/>
  <c r="C96"/>
  <c r="F95"/>
  <c r="E95"/>
  <c r="D95"/>
  <c r="C95"/>
  <c r="F94"/>
  <c r="E94"/>
  <c r="D94"/>
  <c r="C94"/>
  <c r="F93"/>
  <c r="E93"/>
  <c r="D93"/>
  <c r="C93"/>
  <c r="F92"/>
  <c r="E92"/>
  <c r="D92"/>
  <c r="C92"/>
  <c r="F91"/>
  <c r="E91"/>
  <c r="D91"/>
  <c r="C91"/>
  <c r="F90"/>
  <c r="E90"/>
  <c r="D90"/>
  <c r="C90"/>
  <c r="F89"/>
  <c r="E89"/>
  <c r="D89"/>
  <c r="C89"/>
  <c r="F88"/>
  <c r="E88"/>
  <c r="D88"/>
  <c r="C88"/>
  <c r="F87"/>
  <c r="E87"/>
  <c r="D87"/>
  <c r="C87"/>
  <c r="F86"/>
  <c r="E86"/>
  <c r="D86"/>
  <c r="C86"/>
  <c r="F85"/>
  <c r="E85"/>
  <c r="D85"/>
  <c r="C85"/>
  <c r="F84"/>
  <c r="E84"/>
  <c r="D84"/>
  <c r="C84"/>
  <c r="F83"/>
  <c r="E83"/>
  <c r="D83"/>
  <c r="C83"/>
  <c r="F82"/>
  <c r="E82"/>
  <c r="D82"/>
  <c r="C82"/>
  <c r="F81"/>
  <c r="E81"/>
  <c r="D81"/>
  <c r="C81"/>
  <c r="F80"/>
  <c r="E80"/>
  <c r="D80"/>
  <c r="C80"/>
  <c r="F79"/>
  <c r="E79"/>
  <c r="D79"/>
  <c r="C79"/>
  <c r="F78"/>
  <c r="E78"/>
  <c r="D78"/>
  <c r="C78"/>
  <c r="F77"/>
  <c r="E77"/>
  <c r="D77"/>
  <c r="C77"/>
  <c r="F76"/>
  <c r="E76"/>
  <c r="D76"/>
  <c r="C76"/>
  <c r="F75"/>
  <c r="E75"/>
  <c r="D75"/>
  <c r="C75"/>
  <c r="F74"/>
  <c r="E74"/>
  <c r="D74"/>
  <c r="C74"/>
  <c r="F73"/>
  <c r="E73"/>
  <c r="D73"/>
  <c r="C73"/>
  <c r="F72"/>
  <c r="E72"/>
  <c r="D72"/>
  <c r="C72"/>
  <c r="F71"/>
  <c r="E71"/>
  <c r="D71"/>
  <c r="C71"/>
  <c r="F70"/>
  <c r="E70"/>
  <c r="D70"/>
  <c r="C70"/>
  <c r="F69"/>
  <c r="E69"/>
  <c r="D69"/>
  <c r="C69"/>
  <c r="F68"/>
  <c r="E68"/>
  <c r="D68"/>
  <c r="C68"/>
  <c r="F67"/>
  <c r="E67"/>
  <c r="D67"/>
  <c r="C67"/>
  <c r="F66"/>
  <c r="E66"/>
  <c r="D66"/>
  <c r="C66"/>
  <c r="F65"/>
  <c r="E65"/>
  <c r="D65"/>
  <c r="C65"/>
  <c r="F64"/>
  <c r="E64"/>
  <c r="D64"/>
  <c r="C64"/>
  <c r="F63"/>
  <c r="E63"/>
  <c r="D63"/>
  <c r="C63"/>
  <c r="F62"/>
  <c r="E62"/>
  <c r="D62"/>
  <c r="C62"/>
  <c r="F61"/>
  <c r="E61"/>
  <c r="D61"/>
  <c r="C61"/>
  <c r="F60"/>
  <c r="E60"/>
  <c r="D60"/>
  <c r="C60"/>
  <c r="F59"/>
  <c r="E59"/>
  <c r="D59"/>
  <c r="C59"/>
  <c r="F58"/>
  <c r="E58"/>
  <c r="D58"/>
  <c r="C58"/>
  <c r="F57"/>
  <c r="E57"/>
  <c r="D57"/>
  <c r="C57"/>
  <c r="F56"/>
  <c r="E56"/>
  <c r="D56"/>
  <c r="C56"/>
  <c r="F55"/>
  <c r="E55"/>
  <c r="D55"/>
  <c r="C55"/>
  <c r="F54"/>
  <c r="E54"/>
  <c r="D54"/>
  <c r="C54"/>
  <c r="F53"/>
  <c r="E53"/>
  <c r="D53"/>
  <c r="C53"/>
  <c r="F52"/>
  <c r="E52"/>
  <c r="D52"/>
  <c r="C52"/>
  <c r="F51"/>
  <c r="E51"/>
  <c r="D51"/>
  <c r="C51"/>
  <c r="F50"/>
  <c r="E50"/>
  <c r="D50"/>
  <c r="C50"/>
  <c r="F49"/>
  <c r="E49"/>
  <c r="D49"/>
  <c r="C49"/>
  <c r="F48"/>
  <c r="E48"/>
  <c r="D48"/>
  <c r="C48"/>
  <c r="F47"/>
  <c r="E47"/>
  <c r="D47"/>
  <c r="C47"/>
  <c r="F46"/>
  <c r="E46"/>
  <c r="D46"/>
  <c r="C46"/>
  <c r="F45"/>
  <c r="E45"/>
  <c r="D45"/>
  <c r="C45"/>
  <c r="F44"/>
  <c r="E44"/>
  <c r="D44"/>
  <c r="C44"/>
  <c r="F43"/>
  <c r="E43"/>
  <c r="D43"/>
  <c r="C43"/>
  <c r="F42"/>
  <c r="E42"/>
  <c r="D42"/>
  <c r="C42"/>
  <c r="F41"/>
  <c r="E41"/>
  <c r="D41"/>
  <c r="C41"/>
  <c r="F40"/>
  <c r="E40"/>
  <c r="D40"/>
  <c r="C40"/>
  <c r="F39"/>
  <c r="E39"/>
  <c r="D39"/>
  <c r="C39"/>
  <c r="F38"/>
  <c r="E38"/>
  <c r="D38"/>
  <c r="C38"/>
  <c r="F37"/>
  <c r="E37"/>
  <c r="D37"/>
  <c r="C37"/>
  <c r="F36"/>
  <c r="E36"/>
  <c r="D36"/>
  <c r="C36"/>
  <c r="F35"/>
  <c r="E35"/>
  <c r="D35"/>
  <c r="C35"/>
  <c r="F34"/>
  <c r="E34"/>
  <c r="D34"/>
  <c r="C34"/>
  <c r="F33"/>
  <c r="E33"/>
  <c r="D33"/>
  <c r="C33"/>
  <c r="F32"/>
  <c r="E32"/>
  <c r="D32"/>
  <c r="C32"/>
  <c r="F31"/>
  <c r="E31"/>
  <c r="D31"/>
  <c r="C31"/>
  <c r="F30"/>
  <c r="E30"/>
  <c r="D30"/>
  <c r="C30"/>
  <c r="F29"/>
  <c r="E29"/>
  <c r="D29"/>
  <c r="C29"/>
  <c r="J14" i="5"/>
  <c r="D14"/>
  <c r="B8" i="14"/>
  <c r="B27" i="17" l="1"/>
  <c r="K35" s="1"/>
  <c r="K128"/>
  <c r="K132"/>
  <c r="K136"/>
  <c r="K101"/>
  <c r="K120"/>
  <c r="K56"/>
  <c r="K107"/>
  <c r="K91"/>
  <c r="K59"/>
  <c r="K43"/>
  <c r="K114"/>
  <c r="K98"/>
  <c r="K82"/>
  <c r="K66"/>
  <c r="K50"/>
  <c r="K34"/>
  <c r="K33"/>
  <c r="K113"/>
  <c r="K97"/>
  <c r="K81"/>
  <c r="K65"/>
  <c r="K45"/>
  <c r="K116"/>
  <c r="K100"/>
  <c r="K84"/>
  <c r="K68"/>
  <c r="K52"/>
  <c r="K36"/>
  <c r="K119"/>
  <c r="K103"/>
  <c r="K87"/>
  <c r="K71"/>
  <c r="K55"/>
  <c r="K39"/>
  <c r="K110"/>
  <c r="K94"/>
  <c r="K78"/>
  <c r="K62"/>
  <c r="K46"/>
  <c r="K30"/>
  <c r="K109"/>
  <c r="K93"/>
  <c r="K77"/>
  <c r="K61"/>
  <c r="K37"/>
  <c r="K112"/>
  <c r="K96"/>
  <c r="K80"/>
  <c r="K64"/>
  <c r="K48"/>
  <c r="K32"/>
  <c r="K115"/>
  <c r="K99"/>
  <c r="K83"/>
  <c r="K67"/>
  <c r="K51"/>
  <c r="K122"/>
  <c r="K106"/>
  <c r="K90"/>
  <c r="K74"/>
  <c r="K58"/>
  <c r="K42"/>
  <c r="K57"/>
  <c r="K105"/>
  <c r="K89"/>
  <c r="K73"/>
  <c r="K53"/>
  <c r="K124"/>
  <c r="K108"/>
  <c r="K92"/>
  <c r="K76"/>
  <c r="K60"/>
  <c r="K44"/>
  <c r="K29"/>
  <c r="K111"/>
  <c r="K95"/>
  <c r="K79"/>
  <c r="K63"/>
  <c r="K47"/>
  <c r="K118"/>
  <c r="K102"/>
  <c r="K86"/>
  <c r="K70"/>
  <c r="K54"/>
  <c r="K38"/>
  <c r="K41"/>
  <c r="K79" i="18"/>
  <c r="K87"/>
  <c r="K81"/>
  <c r="K99"/>
  <c r="K93"/>
  <c r="K77"/>
  <c r="K83"/>
  <c r="K91"/>
  <c r="K89"/>
  <c r="K95"/>
  <c r="K111"/>
  <c r="K101"/>
  <c r="K103"/>
  <c r="K105"/>
  <c r="K107"/>
  <c r="K61"/>
  <c r="K59"/>
  <c r="K113"/>
  <c r="K115"/>
  <c r="K117"/>
  <c r="K135"/>
  <c r="K133"/>
  <c r="K131"/>
  <c r="K129"/>
  <c r="K127"/>
  <c r="K125"/>
  <c r="K66"/>
  <c r="K40"/>
  <c r="K74"/>
  <c r="K98"/>
  <c r="K122"/>
  <c r="K50"/>
  <c r="K72"/>
  <c r="K84"/>
  <c r="K108"/>
  <c r="K136"/>
  <c r="K30"/>
  <c r="K48"/>
  <c r="K118"/>
  <c r="K134"/>
  <c r="K43"/>
  <c r="K78"/>
  <c r="K102"/>
  <c r="K126"/>
  <c r="K53"/>
  <c r="K58"/>
  <c r="K88"/>
  <c r="K112"/>
  <c r="K62"/>
  <c r="K33"/>
  <c r="K51"/>
  <c r="K37"/>
  <c r="K104"/>
  <c r="K45"/>
  <c r="K123"/>
  <c r="K46"/>
  <c r="K82"/>
  <c r="K106"/>
  <c r="K132"/>
  <c r="K56"/>
  <c r="K32"/>
  <c r="K92"/>
  <c r="K116"/>
  <c r="K128"/>
  <c r="K36"/>
  <c r="K54"/>
  <c r="K55"/>
  <c r="K47"/>
  <c r="K31"/>
  <c r="K49"/>
  <c r="K86"/>
  <c r="K110"/>
  <c r="K70"/>
  <c r="K60"/>
  <c r="K41"/>
  <c r="K96"/>
  <c r="K120"/>
  <c r="K29"/>
  <c r="K39"/>
  <c r="K73"/>
  <c r="K34"/>
  <c r="K52"/>
  <c r="K90"/>
  <c r="K114"/>
  <c r="K35"/>
  <c r="K64"/>
  <c r="K76"/>
  <c r="K100"/>
  <c r="K124"/>
  <c r="K38"/>
  <c r="K42"/>
  <c r="K94"/>
  <c r="K44"/>
  <c r="K68"/>
  <c r="K80"/>
  <c r="K130"/>
  <c r="K109"/>
  <c r="K97"/>
  <c r="K85"/>
  <c r="K57"/>
  <c r="K71"/>
  <c r="K75"/>
  <c r="K63"/>
  <c r="K65"/>
  <c r="K67"/>
  <c r="K69"/>
  <c r="K121"/>
  <c r="B11" i="14"/>
  <c r="K72" i="17" l="1"/>
  <c r="K49"/>
  <c r="K117"/>
  <c r="K135"/>
  <c r="K131"/>
  <c r="K127"/>
  <c r="K123"/>
  <c r="K88"/>
  <c r="K69"/>
  <c r="K31"/>
  <c r="K134"/>
  <c r="K130"/>
  <c r="K126"/>
  <c r="B12" i="14"/>
  <c r="B23" s="1"/>
  <c r="A33" i="33"/>
  <c r="B33" s="1"/>
  <c r="K75" i="17"/>
  <c r="K40"/>
  <c r="K104"/>
  <c r="K85"/>
  <c r="K27" s="1"/>
  <c r="K121"/>
  <c r="K133"/>
  <c r="K129"/>
  <c r="K125"/>
  <c r="K27" i="18"/>
  <c r="B133" i="14"/>
  <c r="B127"/>
  <c r="B121"/>
  <c r="B115"/>
  <c r="B109"/>
  <c r="B103"/>
  <c r="B97"/>
  <c r="B91"/>
  <c r="B85"/>
  <c r="B79"/>
  <c r="B73"/>
  <c r="B67"/>
  <c r="B61"/>
  <c r="B55"/>
  <c r="B49"/>
  <c r="B43"/>
  <c r="B37"/>
  <c r="B31"/>
  <c r="B132"/>
  <c r="B126"/>
  <c r="B120"/>
  <c r="B114"/>
  <c r="B108"/>
  <c r="B102"/>
  <c r="B96"/>
  <c r="B90"/>
  <c r="B84"/>
  <c r="B78"/>
  <c r="B72"/>
  <c r="B66"/>
  <c r="B60"/>
  <c r="B54"/>
  <c r="B48"/>
  <c r="B42"/>
  <c r="B36"/>
  <c r="B30"/>
  <c r="B136"/>
  <c r="B128"/>
  <c r="B118"/>
  <c r="B110"/>
  <c r="B100"/>
  <c r="B92"/>
  <c r="B82"/>
  <c r="B74"/>
  <c r="B64"/>
  <c r="B56"/>
  <c r="B46"/>
  <c r="B38"/>
  <c r="B124"/>
  <c r="B98"/>
  <c r="B80"/>
  <c r="B52"/>
  <c r="B34"/>
  <c r="B47"/>
  <c r="B135"/>
  <c r="B125"/>
  <c r="B117"/>
  <c r="B107"/>
  <c r="B99"/>
  <c r="B89"/>
  <c r="B81"/>
  <c r="B71"/>
  <c r="B63"/>
  <c r="B53"/>
  <c r="B45"/>
  <c r="B35"/>
  <c r="B134"/>
  <c r="B106"/>
  <c r="B88"/>
  <c r="B62"/>
  <c r="B57"/>
  <c r="B39"/>
  <c r="B116"/>
  <c r="B70"/>
  <c r="B44"/>
  <c r="B29"/>
  <c r="B131"/>
  <c r="B123"/>
  <c r="B113"/>
  <c r="B105"/>
  <c r="B95"/>
  <c r="B87"/>
  <c r="B77"/>
  <c r="B69"/>
  <c r="B59"/>
  <c r="B51"/>
  <c r="B41"/>
  <c r="B33"/>
  <c r="B130"/>
  <c r="B122"/>
  <c r="B112"/>
  <c r="B104"/>
  <c r="B94"/>
  <c r="B86"/>
  <c r="B76"/>
  <c r="B68"/>
  <c r="B58"/>
  <c r="B50"/>
  <c r="B40"/>
  <c r="B32"/>
  <c r="B129"/>
  <c r="B119"/>
  <c r="B111"/>
  <c r="B101"/>
  <c r="B93"/>
  <c r="B83"/>
  <c r="B75"/>
  <c r="B65"/>
  <c r="B13" l="1"/>
  <c r="B3" i="4"/>
  <c r="D14" i="32" l="1"/>
  <c r="B14" s="1"/>
  <c r="K131" i="14"/>
  <c r="D131" i="19" s="1"/>
  <c r="K125" i="14"/>
  <c r="D125" i="19" s="1"/>
  <c r="K119" i="14"/>
  <c r="D119" i="19" s="1"/>
  <c r="K113" i="14"/>
  <c r="D113" i="19" s="1"/>
  <c r="K107" i="14"/>
  <c r="D107" i="19" s="1"/>
  <c r="K101" i="14"/>
  <c r="D101" i="19" s="1"/>
  <c r="K95" i="14"/>
  <c r="D95" i="19" s="1"/>
  <c r="K89" i="14"/>
  <c r="D89" i="19" s="1"/>
  <c r="K83" i="14"/>
  <c r="D83" i="19" s="1"/>
  <c r="K77" i="14"/>
  <c r="K71"/>
  <c r="D71" i="19" s="1"/>
  <c r="K65" i="14"/>
  <c r="D65" i="19" s="1"/>
  <c r="K59" i="14"/>
  <c r="D59" i="19" s="1"/>
  <c r="K53" i="14"/>
  <c r="D53" i="19" s="1"/>
  <c r="K136" i="14"/>
  <c r="D136" i="19" s="1"/>
  <c r="K130" i="14"/>
  <c r="D130" i="19" s="1"/>
  <c r="K124" i="14"/>
  <c r="D124" i="19" s="1"/>
  <c r="K118" i="14"/>
  <c r="D118" i="19" s="1"/>
  <c r="K112" i="14"/>
  <c r="D112" i="19" s="1"/>
  <c r="K106" i="14"/>
  <c r="D106" i="19" s="1"/>
  <c r="K100" i="14"/>
  <c r="D100" i="19" s="1"/>
  <c r="K94" i="14"/>
  <c r="D94" i="19" s="1"/>
  <c r="K88" i="14"/>
  <c r="D88" i="19" s="1"/>
  <c r="K82" i="14"/>
  <c r="D82" i="19" s="1"/>
  <c r="K76" i="14"/>
  <c r="D76" i="19" s="1"/>
  <c r="K70" i="14"/>
  <c r="D70" i="19" s="1"/>
  <c r="K64" i="14"/>
  <c r="D64" i="19" s="1"/>
  <c r="K58" i="14"/>
  <c r="D58" i="19" s="1"/>
  <c r="K134" i="14"/>
  <c r="D134" i="19" s="1"/>
  <c r="K98" i="14"/>
  <c r="D98" i="19" s="1"/>
  <c r="K86" i="14"/>
  <c r="D86" i="19" s="1"/>
  <c r="K74" i="14"/>
  <c r="D74" i="19" s="1"/>
  <c r="K62" i="14"/>
  <c r="D62" i="19" s="1"/>
  <c r="K109" i="14"/>
  <c r="D109" i="19" s="1"/>
  <c r="K91" i="14"/>
  <c r="D91" i="19" s="1"/>
  <c r="K79" i="14"/>
  <c r="D79" i="19" s="1"/>
  <c r="K67" i="14"/>
  <c r="D67" i="19" s="1"/>
  <c r="K55" i="14"/>
  <c r="D55" i="19" s="1"/>
  <c r="K135" i="14"/>
  <c r="D135" i="19" s="1"/>
  <c r="K129" i="14"/>
  <c r="D129" i="19" s="1"/>
  <c r="K123" i="14"/>
  <c r="D123" i="19" s="1"/>
  <c r="K117" i="14"/>
  <c r="D117" i="19" s="1"/>
  <c r="K111" i="14"/>
  <c r="D111" i="19" s="1"/>
  <c r="K105" i="14"/>
  <c r="D105" i="19" s="1"/>
  <c r="K99" i="14"/>
  <c r="D99" i="19" s="1"/>
  <c r="K93" i="14"/>
  <c r="D93" i="19" s="1"/>
  <c r="K87" i="14"/>
  <c r="D87" i="19" s="1"/>
  <c r="K81" i="14"/>
  <c r="D81" i="19" s="1"/>
  <c r="K75" i="14"/>
  <c r="D75" i="19" s="1"/>
  <c r="K69" i="14"/>
  <c r="D69" i="19" s="1"/>
  <c r="K63" i="14"/>
  <c r="D63" i="19" s="1"/>
  <c r="K57" i="14"/>
  <c r="D57" i="19" s="1"/>
  <c r="K128" i="14"/>
  <c r="D128" i="19" s="1"/>
  <c r="K122" i="14"/>
  <c r="D122" i="19" s="1"/>
  <c r="K116" i="14"/>
  <c r="D116" i="19" s="1"/>
  <c r="K110" i="14"/>
  <c r="D110" i="19" s="1"/>
  <c r="K104" i="14"/>
  <c r="D104" i="19" s="1"/>
  <c r="K92" i="14"/>
  <c r="D92" i="19" s="1"/>
  <c r="K80" i="14"/>
  <c r="D80" i="19" s="1"/>
  <c r="K68" i="14"/>
  <c r="D68" i="19" s="1"/>
  <c r="K56" i="14"/>
  <c r="D56" i="19" s="1"/>
  <c r="K133" i="14"/>
  <c r="D133" i="19" s="1"/>
  <c r="K127" i="14"/>
  <c r="D127" i="19" s="1"/>
  <c r="K121" i="14"/>
  <c r="D121" i="19" s="1"/>
  <c r="K115" i="14"/>
  <c r="D115" i="19" s="1"/>
  <c r="K103" i="14"/>
  <c r="D103" i="19" s="1"/>
  <c r="K97" i="14"/>
  <c r="D97" i="19" s="1"/>
  <c r="K85" i="14"/>
  <c r="D85" i="19" s="1"/>
  <c r="K73" i="14"/>
  <c r="D73" i="19" s="1"/>
  <c r="K61" i="14"/>
  <c r="D61" i="19" s="1"/>
  <c r="K132" i="14"/>
  <c r="D132" i="19" s="1"/>
  <c r="K126" i="14"/>
  <c r="D126" i="19" s="1"/>
  <c r="K120" i="14"/>
  <c r="D120" i="19" s="1"/>
  <c r="K114" i="14"/>
  <c r="D114" i="19" s="1"/>
  <c r="K108" i="14"/>
  <c r="D108" i="19" s="1"/>
  <c r="K102" i="14"/>
  <c r="D102" i="19" s="1"/>
  <c r="K96" i="14"/>
  <c r="D96" i="19" s="1"/>
  <c r="K90" i="14"/>
  <c r="D90" i="19" s="1"/>
  <c r="K84" i="14"/>
  <c r="D84" i="19" s="1"/>
  <c r="K78" i="14"/>
  <c r="D78" i="19" s="1"/>
  <c r="K72" i="14"/>
  <c r="D72" i="19" s="1"/>
  <c r="K66" i="14"/>
  <c r="D66" i="19" s="1"/>
  <c r="K60" i="14"/>
  <c r="D60" i="19" s="1"/>
  <c r="K54" i="14"/>
  <c r="D54" i="19" s="1"/>
  <c r="C24" i="12"/>
  <c r="C25" s="1"/>
  <c r="B24"/>
  <c r="B25" s="1"/>
  <c r="K34" i="14"/>
  <c r="K32"/>
  <c r="K44"/>
  <c r="K46"/>
  <c r="K47"/>
  <c r="K48"/>
  <c r="K51"/>
  <c r="K33"/>
  <c r="K43"/>
  <c r="K39"/>
  <c r="K38"/>
  <c r="K29"/>
  <c r="K41"/>
  <c r="K49"/>
  <c r="K31"/>
  <c r="K42"/>
  <c r="K50"/>
  <c r="K35"/>
  <c r="K52"/>
  <c r="K30"/>
  <c r="K40"/>
  <c r="K36"/>
  <c r="K37"/>
  <c r="K45"/>
  <c r="C18" i="12"/>
  <c r="B18"/>
  <c r="D25" l="1"/>
  <c r="B11" i="17" s="1"/>
  <c r="A34" i="33" s="1"/>
  <c r="B34" s="1"/>
  <c r="B13"/>
  <c r="A12" s="1"/>
  <c r="B12" s="1"/>
  <c r="D77" i="19"/>
  <c r="L17" i="26"/>
  <c r="L13"/>
  <c r="K141" i="14"/>
  <c r="E32" i="26"/>
  <c r="E16"/>
  <c r="D37" i="19"/>
  <c r="E15" i="26"/>
  <c r="D36" i="19"/>
  <c r="E19" i="26"/>
  <c r="D40" i="19"/>
  <c r="E10" i="26"/>
  <c r="D31" i="19"/>
  <c r="E22" i="26"/>
  <c r="D43" i="19"/>
  <c r="E23" i="26"/>
  <c r="D44" i="19"/>
  <c r="E39" i="26"/>
  <c r="L39"/>
  <c r="L23"/>
  <c r="L30"/>
  <c r="L34"/>
  <c r="L31"/>
  <c r="L14"/>
  <c r="L12"/>
  <c r="E9"/>
  <c r="D30" i="19"/>
  <c r="E12" i="26"/>
  <c r="D33" i="19"/>
  <c r="E11" i="26"/>
  <c r="D32" i="19"/>
  <c r="L9" i="26"/>
  <c r="E40"/>
  <c r="L35"/>
  <c r="E36"/>
  <c r="L36"/>
  <c r="E37"/>
  <c r="L37"/>
  <c r="K143" i="14"/>
  <c r="L20" i="26"/>
  <c r="E8"/>
  <c r="D29" i="19"/>
  <c r="E28" i="26"/>
  <c r="D49" i="19"/>
  <c r="E31" i="26"/>
  <c r="D52" i="19"/>
  <c r="K140" i="14"/>
  <c r="E20" i="26"/>
  <c r="D41" i="19"/>
  <c r="E30" i="26"/>
  <c r="D51" i="19"/>
  <c r="E13" i="26"/>
  <c r="D34" i="19"/>
  <c r="L15" i="26"/>
  <c r="L16"/>
  <c r="E42"/>
  <c r="L42"/>
  <c r="E41"/>
  <c r="E43"/>
  <c r="L43"/>
  <c r="L45" s="1"/>
  <c r="L26"/>
  <c r="E14"/>
  <c r="D35" i="19"/>
  <c r="K144" i="14"/>
  <c r="L32" i="26"/>
  <c r="K26" i="14"/>
  <c r="E17" i="26"/>
  <c r="D38" i="19"/>
  <c r="E26" i="26"/>
  <c r="D47" i="19"/>
  <c r="L27" i="26"/>
  <c r="L40"/>
  <c r="E35"/>
  <c r="L18"/>
  <c r="L10"/>
  <c r="L29"/>
  <c r="L19"/>
  <c r="E38"/>
  <c r="L38"/>
  <c r="E24"/>
  <c r="D45" i="19"/>
  <c r="E27" i="26"/>
  <c r="D48" i="19"/>
  <c r="L21" i="26"/>
  <c r="L28"/>
  <c r="E34"/>
  <c r="E29"/>
  <c r="D50" i="19"/>
  <c r="E21" i="26"/>
  <c r="D42" i="19"/>
  <c r="E18" i="26"/>
  <c r="D39" i="19"/>
  <c r="E25" i="26"/>
  <c r="D46" i="19"/>
  <c r="E33" i="26"/>
  <c r="L33"/>
  <c r="L11"/>
  <c r="L24"/>
  <c r="L22"/>
  <c r="L41"/>
  <c r="L25"/>
  <c r="K142" i="14"/>
  <c r="L8" i="26"/>
  <c r="B27" i="14"/>
  <c r="C19" i="12"/>
  <c r="B19"/>
  <c r="C17"/>
  <c r="B17"/>
  <c r="E15"/>
  <c r="B17" i="10"/>
  <c r="A1" i="11"/>
  <c r="B33" i="10" s="1"/>
  <c r="B15"/>
  <c r="B12"/>
  <c r="B11"/>
  <c r="B10"/>
  <c r="C7" i="9"/>
  <c r="C18" i="7"/>
  <c r="B18"/>
  <c r="G29" i="8"/>
  <c r="I29" s="1"/>
  <c r="D29"/>
  <c r="G28"/>
  <c r="H28" s="1"/>
  <c r="D28"/>
  <c r="G27"/>
  <c r="M27" s="1"/>
  <c r="D27"/>
  <c r="G26"/>
  <c r="K26" s="1"/>
  <c r="D26"/>
  <c r="J26" s="1"/>
  <c r="G25"/>
  <c r="H25" s="1"/>
  <c r="D25"/>
  <c r="N23"/>
  <c r="G23"/>
  <c r="M23" s="1"/>
  <c r="D23"/>
  <c r="N22"/>
  <c r="P28" s="1"/>
  <c r="G22"/>
  <c r="L22" s="1"/>
  <c r="D22"/>
  <c r="J22" s="1"/>
  <c r="N21"/>
  <c r="R27" s="1"/>
  <c r="G21"/>
  <c r="M21" s="1"/>
  <c r="D21"/>
  <c r="N20"/>
  <c r="S26" s="1"/>
  <c r="G20"/>
  <c r="I20" s="1"/>
  <c r="D20"/>
  <c r="J20" s="1"/>
  <c r="N19"/>
  <c r="R25" s="1"/>
  <c r="G19"/>
  <c r="M19" s="1"/>
  <c r="D19"/>
  <c r="W17"/>
  <c r="V17"/>
  <c r="S17"/>
  <c r="R17"/>
  <c r="P17"/>
  <c r="O17"/>
  <c r="G17"/>
  <c r="M17" s="1"/>
  <c r="D17"/>
  <c r="Q17" s="1"/>
  <c r="W16"/>
  <c r="V16"/>
  <c r="S16"/>
  <c r="R16"/>
  <c r="P16"/>
  <c r="O16"/>
  <c r="K16"/>
  <c r="G16"/>
  <c r="H16" s="1"/>
  <c r="D16"/>
  <c r="X16" s="1"/>
  <c r="W15"/>
  <c r="V15"/>
  <c r="S15"/>
  <c r="R15"/>
  <c r="P15"/>
  <c r="O15"/>
  <c r="G15"/>
  <c r="T15" s="1"/>
  <c r="D15"/>
  <c r="W14"/>
  <c r="V14"/>
  <c r="S14"/>
  <c r="R14"/>
  <c r="P14"/>
  <c r="O14"/>
  <c r="G14"/>
  <c r="H14" s="1"/>
  <c r="D14"/>
  <c r="X14" s="1"/>
  <c r="W13"/>
  <c r="V13"/>
  <c r="S13"/>
  <c r="R13"/>
  <c r="P13"/>
  <c r="O13"/>
  <c r="G13"/>
  <c r="I13" s="1"/>
  <c r="D13"/>
  <c r="X13" s="1"/>
  <c r="W11"/>
  <c r="V11"/>
  <c r="S11"/>
  <c r="R11"/>
  <c r="P11"/>
  <c r="O11"/>
  <c r="G11"/>
  <c r="I11" s="1"/>
  <c r="D11"/>
  <c r="X11" s="1"/>
  <c r="W10"/>
  <c r="V10"/>
  <c r="S10"/>
  <c r="R10"/>
  <c r="P10"/>
  <c r="O10"/>
  <c r="G10"/>
  <c r="I10" s="1"/>
  <c r="D10"/>
  <c r="Q10" s="1"/>
  <c r="W9"/>
  <c r="V9"/>
  <c r="S9"/>
  <c r="R9"/>
  <c r="P9"/>
  <c r="O9"/>
  <c r="G9"/>
  <c r="H9" s="1"/>
  <c r="D9"/>
  <c r="X9" s="1"/>
  <c r="W8"/>
  <c r="V8"/>
  <c r="S8"/>
  <c r="R8"/>
  <c r="P8"/>
  <c r="O8"/>
  <c r="G8"/>
  <c r="T8" s="1"/>
  <c r="D8"/>
  <c r="Q8" s="1"/>
  <c r="W7"/>
  <c r="V7"/>
  <c r="S7"/>
  <c r="R7"/>
  <c r="P7"/>
  <c r="O7"/>
  <c r="G7"/>
  <c r="H7" s="1"/>
  <c r="D7"/>
  <c r="Q7" s="1"/>
  <c r="C16" i="7"/>
  <c r="C7" s="1"/>
  <c r="B7" i="18" s="1"/>
  <c r="B16" i="7"/>
  <c r="B7" s="1"/>
  <c r="B8" i="17" l="1"/>
  <c r="B9" i="6"/>
  <c r="D9" s="1"/>
  <c r="D22" i="19" s="1"/>
  <c r="A16" i="33"/>
  <c r="B16" s="1"/>
  <c r="Q25" i="8"/>
  <c r="C19" i="7"/>
  <c r="B8" i="18" s="1"/>
  <c r="M125" s="1"/>
  <c r="F125" i="19" s="1"/>
  <c r="J15" i="8"/>
  <c r="I16"/>
  <c r="I9"/>
  <c r="H15"/>
  <c r="K9"/>
  <c r="L15"/>
  <c r="V18"/>
  <c r="K28"/>
  <c r="J8"/>
  <c r="X8"/>
  <c r="L13"/>
  <c r="I15"/>
  <c r="J16"/>
  <c r="H8"/>
  <c r="W18"/>
  <c r="X15"/>
  <c r="T27"/>
  <c r="D27" i="19"/>
  <c r="D146"/>
  <c r="I8" i="8"/>
  <c r="D145" i="19"/>
  <c r="D147"/>
  <c r="D144"/>
  <c r="L8" i="8"/>
  <c r="J9"/>
  <c r="J19"/>
  <c r="J21"/>
  <c r="J23"/>
  <c r="C16" i="32"/>
  <c r="M36" i="17"/>
  <c r="E36" i="19" s="1"/>
  <c r="M43" i="17"/>
  <c r="E43" i="19" s="1"/>
  <c r="M136" i="17"/>
  <c r="E136" i="19" s="1"/>
  <c r="M44" i="17"/>
  <c r="E44" i="19" s="1"/>
  <c r="M92" i="17"/>
  <c r="E92" i="19" s="1"/>
  <c r="M30" i="17"/>
  <c r="E30" i="19" s="1"/>
  <c r="M78" i="17"/>
  <c r="E78" i="19" s="1"/>
  <c r="M126" i="17"/>
  <c r="E126" i="19" s="1"/>
  <c r="M47" i="17"/>
  <c r="E47" i="19" s="1"/>
  <c r="M71" i="17"/>
  <c r="E71" i="19" s="1"/>
  <c r="M95" i="17"/>
  <c r="E95" i="19" s="1"/>
  <c r="M119" i="17"/>
  <c r="E119" i="19" s="1"/>
  <c r="M48" i="17"/>
  <c r="E48" i="19" s="1"/>
  <c r="M96" i="17"/>
  <c r="E96" i="19" s="1"/>
  <c r="M34" i="17"/>
  <c r="E34" i="19" s="1"/>
  <c r="M82" i="17"/>
  <c r="E82" i="19" s="1"/>
  <c r="M130" i="17"/>
  <c r="E130" i="19" s="1"/>
  <c r="M53" i="17"/>
  <c r="E53" i="19" s="1"/>
  <c r="M77" i="17"/>
  <c r="E77" i="19" s="1"/>
  <c r="M101" i="17"/>
  <c r="E101" i="19" s="1"/>
  <c r="M129" i="17"/>
  <c r="E129" i="19" s="1"/>
  <c r="M68" i="17"/>
  <c r="E68" i="19" s="1"/>
  <c r="M102" i="17"/>
  <c r="E102" i="19" s="1"/>
  <c r="M35" i="17"/>
  <c r="E35" i="19" s="1"/>
  <c r="M107" i="17"/>
  <c r="E107" i="19" s="1"/>
  <c r="M120" i="17"/>
  <c r="E120" i="19" s="1"/>
  <c r="M106" i="17"/>
  <c r="E106" i="19" s="1"/>
  <c r="M117" i="17"/>
  <c r="E117" i="19" s="1"/>
  <c r="M135" i="17"/>
  <c r="E135" i="19" s="1"/>
  <c r="M52" i="17"/>
  <c r="E52" i="19" s="1"/>
  <c r="M100" i="17"/>
  <c r="E100" i="19" s="1"/>
  <c r="M38" i="17"/>
  <c r="E38" i="19" s="1"/>
  <c r="M86" i="17"/>
  <c r="E86" i="19" s="1"/>
  <c r="M134" i="17"/>
  <c r="E134" i="19" s="1"/>
  <c r="M51" i="17"/>
  <c r="E51" i="19" s="1"/>
  <c r="M75" i="17"/>
  <c r="E75" i="19" s="1"/>
  <c r="M99" i="17"/>
  <c r="E99" i="19" s="1"/>
  <c r="M123" i="17"/>
  <c r="E123" i="19" s="1"/>
  <c r="M56" i="17"/>
  <c r="E56" i="19" s="1"/>
  <c r="M104" i="17"/>
  <c r="E104" i="19" s="1"/>
  <c r="M42" i="17"/>
  <c r="E42" i="19" s="1"/>
  <c r="M90" i="17"/>
  <c r="E90" i="19" s="1"/>
  <c r="M29" i="17"/>
  <c r="E29" i="19" s="1"/>
  <c r="M57" i="17"/>
  <c r="E57" i="19" s="1"/>
  <c r="M81" i="17"/>
  <c r="E81" i="19" s="1"/>
  <c r="M105" i="17"/>
  <c r="E105" i="19" s="1"/>
  <c r="M133" i="17"/>
  <c r="E133" i="19" s="1"/>
  <c r="M54" i="17"/>
  <c r="E54" i="19" s="1"/>
  <c r="M83" i="17"/>
  <c r="E83" i="19" s="1"/>
  <c r="M72" i="17"/>
  <c r="E72" i="19" s="1"/>
  <c r="M37" i="17"/>
  <c r="E37" i="19" s="1"/>
  <c r="M49" i="17"/>
  <c r="E49" i="19" s="1"/>
  <c r="M60" i="17"/>
  <c r="E60" i="19" s="1"/>
  <c r="M108" i="17"/>
  <c r="E108" i="19" s="1"/>
  <c r="M46" i="17"/>
  <c r="E46" i="19" s="1"/>
  <c r="M94" i="17"/>
  <c r="E94" i="19" s="1"/>
  <c r="M31" i="17"/>
  <c r="E31" i="19" s="1"/>
  <c r="M55" i="17"/>
  <c r="E55" i="19" s="1"/>
  <c r="M79" i="17"/>
  <c r="E79" i="19" s="1"/>
  <c r="M103" i="17"/>
  <c r="E103" i="19" s="1"/>
  <c r="M127" i="17"/>
  <c r="E127" i="19" s="1"/>
  <c r="M64" i="17"/>
  <c r="E64" i="19" s="1"/>
  <c r="M112" i="17"/>
  <c r="E112" i="19" s="1"/>
  <c r="M50" i="17"/>
  <c r="E50" i="19" s="1"/>
  <c r="M98" i="17"/>
  <c r="E98" i="19" s="1"/>
  <c r="M33" i="17"/>
  <c r="E33" i="19" s="1"/>
  <c r="M61" i="17"/>
  <c r="E61" i="19" s="1"/>
  <c r="M85" i="17"/>
  <c r="E85" i="19" s="1"/>
  <c r="M109" i="17"/>
  <c r="E109" i="19" s="1"/>
  <c r="M113" i="17"/>
  <c r="E113" i="19" s="1"/>
  <c r="M116" i="17"/>
  <c r="E116" i="19" s="1"/>
  <c r="M59" i="17"/>
  <c r="E59" i="19" s="1"/>
  <c r="M131" i="17"/>
  <c r="E131" i="19" s="1"/>
  <c r="M58" i="17"/>
  <c r="E58" i="19" s="1"/>
  <c r="M65" i="17"/>
  <c r="E65" i="19" s="1"/>
  <c r="B12" i="17"/>
  <c r="M76"/>
  <c r="E76" i="19" s="1"/>
  <c r="M124" i="17"/>
  <c r="E124" i="19" s="1"/>
  <c r="M62" i="17"/>
  <c r="E62" i="19" s="1"/>
  <c r="M110" i="17"/>
  <c r="E110" i="19" s="1"/>
  <c r="M39" i="17"/>
  <c r="E39" i="19" s="1"/>
  <c r="M63" i="17"/>
  <c r="E63" i="19" s="1"/>
  <c r="M87" i="17"/>
  <c r="E87" i="19" s="1"/>
  <c r="M111" i="17"/>
  <c r="E111" i="19" s="1"/>
  <c r="M32" i="17"/>
  <c r="E32" i="19" s="1"/>
  <c r="M80" i="17"/>
  <c r="E80" i="19" s="1"/>
  <c r="M128" i="17"/>
  <c r="E128" i="19" s="1"/>
  <c r="M66" i="17"/>
  <c r="E66" i="19" s="1"/>
  <c r="M114" i="17"/>
  <c r="E114" i="19" s="1"/>
  <c r="M41" i="17"/>
  <c r="E41" i="19" s="1"/>
  <c r="M69" i="17"/>
  <c r="E69" i="19" s="1"/>
  <c r="M93" i="17"/>
  <c r="E93" i="19" s="1"/>
  <c r="M121" i="17"/>
  <c r="E121" i="19" s="1"/>
  <c r="M84" i="17"/>
  <c r="E84" i="19" s="1"/>
  <c r="M132" i="17"/>
  <c r="E132" i="19" s="1"/>
  <c r="M70" i="17"/>
  <c r="E70" i="19" s="1"/>
  <c r="M118" i="17"/>
  <c r="E118" i="19" s="1"/>
  <c r="M67" i="17"/>
  <c r="E67" i="19" s="1"/>
  <c r="M91" i="17"/>
  <c r="E91" i="19" s="1"/>
  <c r="M115" i="17"/>
  <c r="E115" i="19" s="1"/>
  <c r="M40" i="17"/>
  <c r="E40" i="19" s="1"/>
  <c r="M88" i="17"/>
  <c r="E88" i="19" s="1"/>
  <c r="M74" i="17"/>
  <c r="M122"/>
  <c r="E122" i="19" s="1"/>
  <c r="M45" i="17"/>
  <c r="E45" i="19" s="1"/>
  <c r="M73" i="17"/>
  <c r="E73" i="19" s="1"/>
  <c r="M97" i="17"/>
  <c r="E97" i="19" s="1"/>
  <c r="M125" i="17"/>
  <c r="E125" i="19" s="1"/>
  <c r="M89" i="17"/>
  <c r="E89" i="19" s="1"/>
  <c r="M133" i="18"/>
  <c r="F133" i="19" s="1"/>
  <c r="M129" i="18"/>
  <c r="F129" i="19" s="1"/>
  <c r="M121" i="18"/>
  <c r="F121" i="19" s="1"/>
  <c r="M117" i="18"/>
  <c r="F117" i="19" s="1"/>
  <c r="M113" i="18"/>
  <c r="F113" i="19" s="1"/>
  <c r="M105" i="18"/>
  <c r="F105" i="19" s="1"/>
  <c r="M101" i="18"/>
  <c r="F101" i="19" s="1"/>
  <c r="M97" i="18"/>
  <c r="F97" i="19" s="1"/>
  <c r="M89" i="18"/>
  <c r="F89" i="19" s="1"/>
  <c r="M85" i="18"/>
  <c r="F85" i="19" s="1"/>
  <c r="M81" i="18"/>
  <c r="F81" i="19" s="1"/>
  <c r="M73" i="18"/>
  <c r="F73" i="19" s="1"/>
  <c r="M69" i="18"/>
  <c r="F69" i="19" s="1"/>
  <c r="M65" i="18"/>
  <c r="F65" i="19" s="1"/>
  <c r="M57" i="18"/>
  <c r="F57" i="19" s="1"/>
  <c r="M53" i="18"/>
  <c r="F53" i="19" s="1"/>
  <c r="M49" i="18"/>
  <c r="F49" i="19" s="1"/>
  <c r="M41" i="18"/>
  <c r="F41" i="19" s="1"/>
  <c r="M37" i="18"/>
  <c r="F37" i="19" s="1"/>
  <c r="M33" i="18"/>
  <c r="F33" i="19" s="1"/>
  <c r="M136" i="18"/>
  <c r="F136" i="19" s="1"/>
  <c r="M132" i="18"/>
  <c r="F132" i="19" s="1"/>
  <c r="M128" i="18"/>
  <c r="F128" i="19" s="1"/>
  <c r="M120" i="18"/>
  <c r="F120" i="19" s="1"/>
  <c r="M116" i="18"/>
  <c r="F116" i="19" s="1"/>
  <c r="M112" i="18"/>
  <c r="F112" i="19" s="1"/>
  <c r="M104" i="18"/>
  <c r="F104" i="19" s="1"/>
  <c r="M100" i="18"/>
  <c r="F100" i="19" s="1"/>
  <c r="M96" i="18"/>
  <c r="F96" i="19" s="1"/>
  <c r="M88" i="18"/>
  <c r="F88" i="19" s="1"/>
  <c r="M84" i="18"/>
  <c r="F84" i="19" s="1"/>
  <c r="M80" i="18"/>
  <c r="F80" i="19" s="1"/>
  <c r="M72" i="18"/>
  <c r="F72" i="19" s="1"/>
  <c r="M68" i="18"/>
  <c r="F68" i="19" s="1"/>
  <c r="M64" i="18"/>
  <c r="F64" i="19" s="1"/>
  <c r="M56" i="18"/>
  <c r="F56" i="19" s="1"/>
  <c r="M52" i="18"/>
  <c r="F52" i="19" s="1"/>
  <c r="M48" i="18"/>
  <c r="F48" i="19" s="1"/>
  <c r="M40" i="18"/>
  <c r="F40" i="19" s="1"/>
  <c r="M36" i="18"/>
  <c r="F36" i="19" s="1"/>
  <c r="M32" i="18"/>
  <c r="F32" i="19" s="1"/>
  <c r="M131" i="18"/>
  <c r="F131" i="19" s="1"/>
  <c r="M127" i="18"/>
  <c r="F127" i="19" s="1"/>
  <c r="M123" i="18"/>
  <c r="F123" i="19" s="1"/>
  <c r="M115" i="18"/>
  <c r="F115" i="19" s="1"/>
  <c r="M111" i="18"/>
  <c r="F111" i="19" s="1"/>
  <c r="M107" i="18"/>
  <c r="F107" i="19" s="1"/>
  <c r="M99" i="18"/>
  <c r="F99" i="19" s="1"/>
  <c r="M95" i="18"/>
  <c r="F95" i="19" s="1"/>
  <c r="M91" i="18"/>
  <c r="F91" i="19" s="1"/>
  <c r="M83" i="18"/>
  <c r="F83" i="19" s="1"/>
  <c r="M79" i="18"/>
  <c r="F79" i="19" s="1"/>
  <c r="M75" i="18"/>
  <c r="F75" i="19" s="1"/>
  <c r="M67" i="18"/>
  <c r="F67" i="19" s="1"/>
  <c r="M63" i="18"/>
  <c r="F63" i="19" s="1"/>
  <c r="M59" i="18"/>
  <c r="F59" i="19" s="1"/>
  <c r="M51" i="18"/>
  <c r="F51" i="19" s="1"/>
  <c r="M47" i="18"/>
  <c r="F47" i="19" s="1"/>
  <c r="M43" i="18"/>
  <c r="F43" i="19" s="1"/>
  <c r="M35" i="18"/>
  <c r="F35" i="19" s="1"/>
  <c r="M31" i="18"/>
  <c r="F31" i="19" s="1"/>
  <c r="M134" i="18"/>
  <c r="F134" i="19" s="1"/>
  <c r="M102" i="18"/>
  <c r="F102" i="19" s="1"/>
  <c r="M86" i="18"/>
  <c r="F86" i="19" s="1"/>
  <c r="M70" i="18"/>
  <c r="F70" i="19" s="1"/>
  <c r="M38" i="18"/>
  <c r="F38" i="19" s="1"/>
  <c r="M130" i="18"/>
  <c r="F130" i="19" s="1"/>
  <c r="M114" i="18"/>
  <c r="F114" i="19" s="1"/>
  <c r="M82" i="18"/>
  <c r="F82" i="19" s="1"/>
  <c r="M66" i="18"/>
  <c r="F66" i="19" s="1"/>
  <c r="M50" i="18"/>
  <c r="F50" i="19" s="1"/>
  <c r="M126" i="18"/>
  <c r="F126" i="19" s="1"/>
  <c r="M110" i="18"/>
  <c r="F110" i="19" s="1"/>
  <c r="M94" i="18"/>
  <c r="F94" i="19" s="1"/>
  <c r="M62" i="18"/>
  <c r="F62" i="19" s="1"/>
  <c r="M46" i="18"/>
  <c r="F46" i="19" s="1"/>
  <c r="M30" i="18"/>
  <c r="F30" i="19" s="1"/>
  <c r="M106" i="18"/>
  <c r="F106" i="19" s="1"/>
  <c r="M90" i="18"/>
  <c r="F90" i="19" s="1"/>
  <c r="M74" i="18"/>
  <c r="F74" i="19" s="1"/>
  <c r="M42" i="18"/>
  <c r="F42" i="19" s="1"/>
  <c r="K8" i="8"/>
  <c r="L10"/>
  <c r="X10"/>
  <c r="L11"/>
  <c r="Q14"/>
  <c r="K15"/>
  <c r="Q15"/>
  <c r="L17"/>
  <c r="X17"/>
  <c r="X18" s="1"/>
  <c r="I19"/>
  <c r="L20"/>
  <c r="S20"/>
  <c r="I21"/>
  <c r="S22"/>
  <c r="I23"/>
  <c r="T23"/>
  <c r="L25"/>
  <c r="I28"/>
  <c r="T29"/>
  <c r="C9" i="6"/>
  <c r="D21" i="19" s="1"/>
  <c r="X7" i="8"/>
  <c r="Q9"/>
  <c r="J10"/>
  <c r="Q16"/>
  <c r="J17"/>
  <c r="K19"/>
  <c r="Q20"/>
  <c r="K21"/>
  <c r="T22"/>
  <c r="Q22"/>
  <c r="K23"/>
  <c r="T26"/>
  <c r="P26"/>
  <c r="Q28"/>
  <c r="R28"/>
  <c r="L9"/>
  <c r="K10"/>
  <c r="K11"/>
  <c r="T14"/>
  <c r="L16"/>
  <c r="K17"/>
  <c r="H19"/>
  <c r="L19"/>
  <c r="K20"/>
  <c r="R20"/>
  <c r="H21"/>
  <c r="L21"/>
  <c r="K22"/>
  <c r="R22"/>
  <c r="H23"/>
  <c r="L23"/>
  <c r="K25"/>
  <c r="I26"/>
  <c r="Q29"/>
  <c r="F27" i="14"/>
  <c r="D27"/>
  <c r="E18" i="12"/>
  <c r="E17"/>
  <c r="C27" i="14"/>
  <c r="B19" i="7"/>
  <c r="D19" s="1"/>
  <c r="M7" i="8"/>
  <c r="T7"/>
  <c r="P29"/>
  <c r="T13"/>
  <c r="I7"/>
  <c r="M11"/>
  <c r="T11"/>
  <c r="I14"/>
  <c r="J7"/>
  <c r="M10"/>
  <c r="T10"/>
  <c r="H11"/>
  <c r="J14"/>
  <c r="Q19"/>
  <c r="K7"/>
  <c r="M9"/>
  <c r="T9"/>
  <c r="H10"/>
  <c r="J13"/>
  <c r="Q13"/>
  <c r="K14"/>
  <c r="M16"/>
  <c r="T16"/>
  <c r="H17"/>
  <c r="R19"/>
  <c r="O20"/>
  <c r="R21"/>
  <c r="I22"/>
  <c r="O22"/>
  <c r="R23"/>
  <c r="I25"/>
  <c r="P25"/>
  <c r="K27"/>
  <c r="L7"/>
  <c r="M8"/>
  <c r="J11"/>
  <c r="Q11"/>
  <c r="K13"/>
  <c r="L14"/>
  <c r="M15"/>
  <c r="I17"/>
  <c r="S19"/>
  <c r="P20"/>
  <c r="S21"/>
  <c r="P22"/>
  <c r="S23"/>
  <c r="J25"/>
  <c r="H26"/>
  <c r="O26"/>
  <c r="L27"/>
  <c r="S27"/>
  <c r="J28"/>
  <c r="H29"/>
  <c r="O29"/>
  <c r="O19"/>
  <c r="O21"/>
  <c r="O23"/>
  <c r="S25"/>
  <c r="Q26"/>
  <c r="H27"/>
  <c r="O27"/>
  <c r="L28"/>
  <c r="S28"/>
  <c r="J29"/>
  <c r="P19"/>
  <c r="M20"/>
  <c r="P21"/>
  <c r="M22"/>
  <c r="P23"/>
  <c r="M25"/>
  <c r="T25"/>
  <c r="R26"/>
  <c r="I27"/>
  <c r="P27"/>
  <c r="M28"/>
  <c r="T28"/>
  <c r="K29"/>
  <c r="R29"/>
  <c r="T17"/>
  <c r="H20"/>
  <c r="T20"/>
  <c r="Q21"/>
  <c r="H22"/>
  <c r="Q23"/>
  <c r="O25"/>
  <c r="L26"/>
  <c r="J27"/>
  <c r="Q27"/>
  <c r="O28"/>
  <c r="L29"/>
  <c r="S29"/>
  <c r="M14"/>
  <c r="T19"/>
  <c r="T21"/>
  <c r="M13"/>
  <c r="H13"/>
  <c r="M26"/>
  <c r="M29"/>
  <c r="D16" i="7"/>
  <c r="M58" i="18" l="1"/>
  <c r="F58" i="19" s="1"/>
  <c r="M122" i="18"/>
  <c r="F122" i="19" s="1"/>
  <c r="M78" i="18"/>
  <c r="F78" i="19" s="1"/>
  <c r="M34" i="18"/>
  <c r="F34" i="19" s="1"/>
  <c r="M98" i="18"/>
  <c r="F98" i="19" s="1"/>
  <c r="M54" i="18"/>
  <c r="F54" i="19" s="1"/>
  <c r="M118" i="18"/>
  <c r="F118" i="19" s="1"/>
  <c r="M39" i="18"/>
  <c r="F39" i="19" s="1"/>
  <c r="M55" i="18"/>
  <c r="F55" i="19" s="1"/>
  <c r="M71" i="18"/>
  <c r="F71" i="19" s="1"/>
  <c r="M87" i="18"/>
  <c r="F87" i="19" s="1"/>
  <c r="M103" i="18"/>
  <c r="F103" i="19" s="1"/>
  <c r="M119" i="18"/>
  <c r="F119" i="19" s="1"/>
  <c r="M135" i="18"/>
  <c r="F135" i="19" s="1"/>
  <c r="M44" i="18"/>
  <c r="F44" i="19" s="1"/>
  <c r="M60" i="18"/>
  <c r="F60" i="19" s="1"/>
  <c r="M76" i="18"/>
  <c r="F76" i="19" s="1"/>
  <c r="F27" s="1"/>
  <c r="M92" i="18"/>
  <c r="F92" i="19" s="1"/>
  <c r="M108" i="18"/>
  <c r="F108" i="19" s="1"/>
  <c r="M124" i="18"/>
  <c r="F124" i="19" s="1"/>
  <c r="M29" i="18"/>
  <c r="F29" i="19" s="1"/>
  <c r="M45" i="18"/>
  <c r="F45" i="19" s="1"/>
  <c r="M61" i="18"/>
  <c r="F61" i="19" s="1"/>
  <c r="M77" i="18"/>
  <c r="F77" i="19" s="1"/>
  <c r="M93" i="18"/>
  <c r="F93" i="19" s="1"/>
  <c r="M109" i="18"/>
  <c r="F109" i="19" s="1"/>
  <c r="D20"/>
  <c r="M27" i="17"/>
  <c r="E74" i="19"/>
  <c r="E27" s="1"/>
  <c r="D150"/>
  <c r="D149"/>
  <c r="M27" i="18"/>
  <c r="E27" i="14"/>
  <c r="E20" i="12"/>
  <c r="B10" i="6" l="1"/>
  <c r="E20" i="19" s="1"/>
  <c r="A14" i="33"/>
  <c r="B14" s="1"/>
  <c r="C17" i="32"/>
  <c r="A15" i="33"/>
  <c r="C10" i="6"/>
  <c r="E21" i="19" s="1"/>
  <c r="K27" i="15"/>
  <c r="K27" i="14"/>
  <c r="A9" i="33" s="1"/>
  <c r="B9" s="1"/>
  <c r="D10" i="6"/>
  <c r="E22" i="19" s="1"/>
  <c r="C11" i="6" l="1"/>
  <c r="F21" i="19" s="1"/>
  <c r="F10" i="6"/>
  <c r="D16" i="32" s="1"/>
  <c r="B16" s="1"/>
  <c r="F9" i="6"/>
  <c r="A1"/>
  <c r="B21" i="10" s="1"/>
  <c r="D12" i="32" l="1"/>
  <c r="C6" i="30"/>
  <c r="B6"/>
  <c r="B14" i="4"/>
  <c r="F136"/>
  <c r="E136"/>
  <c r="F135"/>
  <c r="E135"/>
  <c r="F134"/>
  <c r="E134"/>
  <c r="F133"/>
  <c r="E133"/>
  <c r="F132"/>
  <c r="E132"/>
  <c r="F131"/>
  <c r="E131"/>
  <c r="F130"/>
  <c r="E130"/>
  <c r="F129"/>
  <c r="E129"/>
  <c r="F128"/>
  <c r="E128"/>
  <c r="F127"/>
  <c r="E127"/>
  <c r="F126"/>
  <c r="E126"/>
  <c r="F125"/>
  <c r="E125"/>
  <c r="F124"/>
  <c r="E124"/>
  <c r="F123"/>
  <c r="E123"/>
  <c r="F122"/>
  <c r="E122"/>
  <c r="F121"/>
  <c r="E121"/>
  <c r="F120"/>
  <c r="E120"/>
  <c r="F119"/>
  <c r="E119"/>
  <c r="F118"/>
  <c r="E118"/>
  <c r="F117"/>
  <c r="E117"/>
  <c r="F116"/>
  <c r="E116"/>
  <c r="F115"/>
  <c r="E115"/>
  <c r="F114"/>
  <c r="E114"/>
  <c r="F113"/>
  <c r="E113"/>
  <c r="F112"/>
  <c r="E112"/>
  <c r="F111"/>
  <c r="E111"/>
  <c r="F110"/>
  <c r="E110"/>
  <c r="F109"/>
  <c r="E109"/>
  <c r="F108"/>
  <c r="E108"/>
  <c r="F107"/>
  <c r="E107"/>
  <c r="F106"/>
  <c r="E106"/>
  <c r="F105"/>
  <c r="E105"/>
  <c r="F104"/>
  <c r="E104"/>
  <c r="F103"/>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E81"/>
  <c r="E80"/>
  <c r="E79"/>
  <c r="E78"/>
  <c r="E77"/>
  <c r="F67"/>
  <c r="E67"/>
  <c r="F66"/>
  <c r="E66"/>
  <c r="F65"/>
  <c r="E65"/>
  <c r="F64"/>
  <c r="E64"/>
  <c r="F63"/>
  <c r="E63"/>
  <c r="F62"/>
  <c r="E62"/>
  <c r="F61"/>
  <c r="E61"/>
  <c r="F60"/>
  <c r="E60"/>
  <c r="F59"/>
  <c r="E59"/>
  <c r="F58"/>
  <c r="E58"/>
  <c r="F57"/>
  <c r="E57"/>
  <c r="F56"/>
  <c r="E56"/>
  <c r="F55"/>
  <c r="E55"/>
  <c r="F54"/>
  <c r="E54"/>
  <c r="F53"/>
  <c r="E53"/>
  <c r="F52"/>
  <c r="E52"/>
  <c r="F51"/>
  <c r="E51"/>
  <c r="F50"/>
  <c r="E50"/>
  <c r="F49"/>
  <c r="E49"/>
  <c r="F48"/>
  <c r="E48"/>
  <c r="F47"/>
  <c r="E47"/>
  <c r="F46"/>
  <c r="E46"/>
  <c r="F45"/>
  <c r="E45"/>
  <c r="F44"/>
  <c r="E44"/>
  <c r="F43"/>
  <c r="E43"/>
  <c r="F42"/>
  <c r="E42"/>
  <c r="F41"/>
  <c r="E41"/>
  <c r="F40"/>
  <c r="E40"/>
  <c r="F39"/>
  <c r="E39"/>
  <c r="F38"/>
  <c r="E38"/>
  <c r="F37"/>
  <c r="E37"/>
  <c r="F36"/>
  <c r="E36"/>
  <c r="F35"/>
  <c r="E35"/>
  <c r="F34"/>
  <c r="E34"/>
  <c r="F33"/>
  <c r="E33"/>
  <c r="F32"/>
  <c r="E32"/>
  <c r="F31"/>
  <c r="E31"/>
  <c r="F30"/>
  <c r="E30"/>
  <c r="F29"/>
  <c r="E29"/>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67"/>
  <c r="C66"/>
  <c r="C65"/>
  <c r="C64"/>
  <c r="C63"/>
  <c r="C62"/>
  <c r="C61"/>
  <c r="C60"/>
  <c r="C59"/>
  <c r="C58"/>
  <c r="C57"/>
  <c r="C56"/>
  <c r="C55"/>
  <c r="C54"/>
  <c r="C53"/>
  <c r="C52"/>
  <c r="C51"/>
  <c r="C50"/>
  <c r="C49"/>
  <c r="C48"/>
  <c r="C47"/>
  <c r="C46"/>
  <c r="C45"/>
  <c r="C44"/>
  <c r="C43"/>
  <c r="C42"/>
  <c r="C41"/>
  <c r="C40"/>
  <c r="C39"/>
  <c r="C38"/>
  <c r="C37"/>
  <c r="C36"/>
  <c r="C35"/>
  <c r="C34"/>
  <c r="C33"/>
  <c r="C32"/>
  <c r="C31"/>
  <c r="C30"/>
  <c r="C29"/>
  <c r="B24"/>
  <c r="F24" s="1"/>
  <c r="B25"/>
  <c r="B108" s="1"/>
  <c r="M108" s="1"/>
  <c r="I4" i="5"/>
  <c r="G4"/>
  <c r="E4"/>
  <c r="C4"/>
  <c r="A4"/>
  <c r="G19" i="4"/>
  <c r="G37" s="1"/>
  <c r="G21"/>
  <c r="D19"/>
  <c r="D134" s="1"/>
  <c r="D23"/>
  <c r="B8"/>
  <c r="F23" s="1"/>
  <c r="E23"/>
  <c r="B20" i="1"/>
  <c r="A30" i="33" s="1"/>
  <c r="B30" s="1"/>
  <c r="B5" i="32" l="1"/>
  <c r="D6" i="30"/>
  <c r="H11" s="1"/>
  <c r="D13" i="32"/>
  <c r="B13" s="1"/>
  <c r="B12"/>
  <c r="G64" i="4"/>
  <c r="G44"/>
  <c r="G88"/>
  <c r="G46"/>
  <c r="G113"/>
  <c r="G70"/>
  <c r="D78"/>
  <c r="D90"/>
  <c r="D103"/>
  <c r="F25"/>
  <c r="D30"/>
  <c r="D73"/>
  <c r="D97"/>
  <c r="G121"/>
  <c r="D39"/>
  <c r="D60"/>
  <c r="D64"/>
  <c r="D75"/>
  <c r="D52"/>
  <c r="G55"/>
  <c r="G35"/>
  <c r="D42"/>
  <c r="D46"/>
  <c r="D48"/>
  <c r="G62"/>
  <c r="D70"/>
  <c r="D81"/>
  <c r="D94"/>
  <c r="D96"/>
  <c r="G104"/>
  <c r="D109"/>
  <c r="D120"/>
  <c r="D124"/>
  <c r="D133"/>
  <c r="B36"/>
  <c r="M36" s="1"/>
  <c r="D40"/>
  <c r="D57"/>
  <c r="D72"/>
  <c r="D99"/>
  <c r="D112"/>
  <c r="D114"/>
  <c r="G122"/>
  <c r="D127"/>
  <c r="D136"/>
  <c r="B48"/>
  <c r="M48" s="1"/>
  <c r="D45"/>
  <c r="D79"/>
  <c r="D93"/>
  <c r="D108"/>
  <c r="D121"/>
  <c r="D123"/>
  <c r="D132"/>
  <c r="B62"/>
  <c r="M62" s="1"/>
  <c r="D63"/>
  <c r="D91"/>
  <c r="D102"/>
  <c r="D106"/>
  <c r="D117"/>
  <c r="D130"/>
  <c r="B80"/>
  <c r="M80" s="1"/>
  <c r="D34"/>
  <c r="D36"/>
  <c r="D61"/>
  <c r="D67"/>
  <c r="D105"/>
  <c r="D118"/>
  <c r="D129"/>
  <c r="B37"/>
  <c r="M37" s="1"/>
  <c r="D51"/>
  <c r="D55"/>
  <c r="D82"/>
  <c r="D43"/>
  <c r="D49"/>
  <c r="C8"/>
  <c r="D33"/>
  <c r="D37"/>
  <c r="G53"/>
  <c r="D66"/>
  <c r="G68"/>
  <c r="D31"/>
  <c r="D54"/>
  <c r="D58"/>
  <c r="D69"/>
  <c r="D76"/>
  <c r="G95"/>
  <c r="D100"/>
  <c r="D111"/>
  <c r="D115"/>
  <c r="D126"/>
  <c r="D135"/>
  <c r="F72"/>
  <c r="F70"/>
  <c r="G32"/>
  <c r="G50"/>
  <c r="E24"/>
  <c r="E25" s="1"/>
  <c r="A6" i="33" s="1"/>
  <c r="B6" s="1"/>
  <c r="G61" i="4"/>
  <c r="G71"/>
  <c r="G29"/>
  <c r="G47"/>
  <c r="G56"/>
  <c r="G65"/>
  <c r="B136"/>
  <c r="M136" s="1"/>
  <c r="B130"/>
  <c r="M130" s="1"/>
  <c r="B124"/>
  <c r="M124" s="1"/>
  <c r="B118"/>
  <c r="M118" s="1"/>
  <c r="B112"/>
  <c r="M112" s="1"/>
  <c r="B106"/>
  <c r="M106" s="1"/>
  <c r="B100"/>
  <c r="M100" s="1"/>
  <c r="B94"/>
  <c r="M94" s="1"/>
  <c r="B88"/>
  <c r="M88" s="1"/>
  <c r="B82"/>
  <c r="M82" s="1"/>
  <c r="B76"/>
  <c r="M76" s="1"/>
  <c r="B70"/>
  <c r="M70" s="1"/>
  <c r="B64"/>
  <c r="M64" s="1"/>
  <c r="B58"/>
  <c r="M58" s="1"/>
  <c r="B52"/>
  <c r="M52" s="1"/>
  <c r="B46"/>
  <c r="M46" s="1"/>
  <c r="B40"/>
  <c r="M40" s="1"/>
  <c r="B34"/>
  <c r="M34" s="1"/>
  <c r="B45"/>
  <c r="M45" s="1"/>
  <c r="B39"/>
  <c r="M39" s="1"/>
  <c r="B135"/>
  <c r="M135" s="1"/>
  <c r="B129"/>
  <c r="M129" s="1"/>
  <c r="B123"/>
  <c r="M123" s="1"/>
  <c r="B117"/>
  <c r="M117" s="1"/>
  <c r="B111"/>
  <c r="M111" s="1"/>
  <c r="B105"/>
  <c r="M105" s="1"/>
  <c r="B99"/>
  <c r="M99" s="1"/>
  <c r="B93"/>
  <c r="M93" s="1"/>
  <c r="B87"/>
  <c r="M87" s="1"/>
  <c r="B81"/>
  <c r="M81" s="1"/>
  <c r="B75"/>
  <c r="M75" s="1"/>
  <c r="B69"/>
  <c r="M69" s="1"/>
  <c r="B63"/>
  <c r="M63" s="1"/>
  <c r="B51"/>
  <c r="M51" s="1"/>
  <c r="B33"/>
  <c r="M33" s="1"/>
  <c r="B134"/>
  <c r="M134" s="1"/>
  <c r="B128"/>
  <c r="M128" s="1"/>
  <c r="B122"/>
  <c r="M122" s="1"/>
  <c r="B116"/>
  <c r="M116" s="1"/>
  <c r="B110"/>
  <c r="M110" s="1"/>
  <c r="B104"/>
  <c r="M104" s="1"/>
  <c r="B98"/>
  <c r="M98" s="1"/>
  <c r="B92"/>
  <c r="M92" s="1"/>
  <c r="B133"/>
  <c r="M133" s="1"/>
  <c r="B127"/>
  <c r="M127" s="1"/>
  <c r="B121"/>
  <c r="M121" s="1"/>
  <c r="B115"/>
  <c r="M115" s="1"/>
  <c r="B109"/>
  <c r="M109" s="1"/>
  <c r="B103"/>
  <c r="M103" s="1"/>
  <c r="B97"/>
  <c r="M97" s="1"/>
  <c r="B91"/>
  <c r="M91" s="1"/>
  <c r="B85"/>
  <c r="M85" s="1"/>
  <c r="B79"/>
  <c r="M79" s="1"/>
  <c r="B73"/>
  <c r="M73" s="1"/>
  <c r="B67"/>
  <c r="M67" s="1"/>
  <c r="B61"/>
  <c r="M61" s="1"/>
  <c r="B55"/>
  <c r="M55" s="1"/>
  <c r="B49"/>
  <c r="M49" s="1"/>
  <c r="B131"/>
  <c r="M131" s="1"/>
  <c r="B125"/>
  <c r="M125" s="1"/>
  <c r="B119"/>
  <c r="M119" s="1"/>
  <c r="B113"/>
  <c r="M113" s="1"/>
  <c r="B107"/>
  <c r="M107" s="1"/>
  <c r="B101"/>
  <c r="M101" s="1"/>
  <c r="B95"/>
  <c r="M95" s="1"/>
  <c r="B89"/>
  <c r="M89" s="1"/>
  <c r="B83"/>
  <c r="M83" s="1"/>
  <c r="B77"/>
  <c r="M77" s="1"/>
  <c r="B71"/>
  <c r="M71" s="1"/>
  <c r="B65"/>
  <c r="M65" s="1"/>
  <c r="B59"/>
  <c r="M59" s="1"/>
  <c r="B53"/>
  <c r="M53" s="1"/>
  <c r="B47"/>
  <c r="M47" s="1"/>
  <c r="B41"/>
  <c r="M41" s="1"/>
  <c r="B35"/>
  <c r="M35" s="1"/>
  <c r="B29"/>
  <c r="M29" s="1"/>
  <c r="G31"/>
  <c r="G40"/>
  <c r="G49"/>
  <c r="G58"/>
  <c r="G67"/>
  <c r="G74"/>
  <c r="G76"/>
  <c r="G80"/>
  <c r="G91"/>
  <c r="G100"/>
  <c r="G109"/>
  <c r="G118"/>
  <c r="B32"/>
  <c r="M32" s="1"/>
  <c r="B44"/>
  <c r="M44" s="1"/>
  <c r="B60"/>
  <c r="M60" s="1"/>
  <c r="B78"/>
  <c r="M78" s="1"/>
  <c r="B102"/>
  <c r="M102" s="1"/>
  <c r="G97"/>
  <c r="G106"/>
  <c r="G115"/>
  <c r="G124"/>
  <c r="G128"/>
  <c r="G134"/>
  <c r="B50"/>
  <c r="M50" s="1"/>
  <c r="B66"/>
  <c r="M66" s="1"/>
  <c r="B84"/>
  <c r="M84" s="1"/>
  <c r="B114"/>
  <c r="M114" s="1"/>
  <c r="G101"/>
  <c r="G110"/>
  <c r="G119"/>
  <c r="B38"/>
  <c r="M38" s="1"/>
  <c r="B54"/>
  <c r="M54" s="1"/>
  <c r="B68"/>
  <c r="M68" s="1"/>
  <c r="B86"/>
  <c r="M86" s="1"/>
  <c r="B120"/>
  <c r="M120" s="1"/>
  <c r="B30"/>
  <c r="M30" s="1"/>
  <c r="B42"/>
  <c r="M42" s="1"/>
  <c r="B56"/>
  <c r="M56" s="1"/>
  <c r="B72"/>
  <c r="M72" s="1"/>
  <c r="B90"/>
  <c r="M90" s="1"/>
  <c r="B126"/>
  <c r="M126" s="1"/>
  <c r="D24"/>
  <c r="D25" s="1"/>
  <c r="D83" s="1"/>
  <c r="C24"/>
  <c r="C25" s="1"/>
  <c r="G136"/>
  <c r="G133"/>
  <c r="G130"/>
  <c r="G127"/>
  <c r="G135"/>
  <c r="G132"/>
  <c r="G129"/>
  <c r="G126"/>
  <c r="G123"/>
  <c r="G120"/>
  <c r="G117"/>
  <c r="G114"/>
  <c r="G111"/>
  <c r="G108"/>
  <c r="K108" s="1"/>
  <c r="G105"/>
  <c r="G102"/>
  <c r="G99"/>
  <c r="G96"/>
  <c r="G93"/>
  <c r="G90"/>
  <c r="G81"/>
  <c r="G78"/>
  <c r="G75"/>
  <c r="G72"/>
  <c r="G69"/>
  <c r="G66"/>
  <c r="G63"/>
  <c r="G60"/>
  <c r="G57"/>
  <c r="G54"/>
  <c r="G51"/>
  <c r="G48"/>
  <c r="G45"/>
  <c r="G42"/>
  <c r="G39"/>
  <c r="G36"/>
  <c r="G33"/>
  <c r="G30"/>
  <c r="G41"/>
  <c r="G59"/>
  <c r="G77"/>
  <c r="G79"/>
  <c r="G92"/>
  <c r="G34"/>
  <c r="G43"/>
  <c r="G52"/>
  <c r="G73"/>
  <c r="G94"/>
  <c r="G103"/>
  <c r="G112"/>
  <c r="G38"/>
  <c r="G89"/>
  <c r="G98"/>
  <c r="G107"/>
  <c r="G116"/>
  <c r="G125"/>
  <c r="G131"/>
  <c r="B31"/>
  <c r="M31" s="1"/>
  <c r="B43"/>
  <c r="M43" s="1"/>
  <c r="B57"/>
  <c r="M57" s="1"/>
  <c r="B74"/>
  <c r="M74" s="1"/>
  <c r="B96"/>
  <c r="M96" s="1"/>
  <c r="B132"/>
  <c r="M132" s="1"/>
  <c r="D29"/>
  <c r="D32"/>
  <c r="D35"/>
  <c r="D38"/>
  <c r="D41"/>
  <c r="D44"/>
  <c r="D47"/>
  <c r="D50"/>
  <c r="D53"/>
  <c r="D56"/>
  <c r="D59"/>
  <c r="D62"/>
  <c r="D65"/>
  <c r="D68"/>
  <c r="D71"/>
  <c r="D74"/>
  <c r="D77"/>
  <c r="D80"/>
  <c r="D89"/>
  <c r="D92"/>
  <c r="D95"/>
  <c r="D98"/>
  <c r="D101"/>
  <c r="D104"/>
  <c r="D107"/>
  <c r="D110"/>
  <c r="D113"/>
  <c r="D116"/>
  <c r="D119"/>
  <c r="D122"/>
  <c r="D125"/>
  <c r="D128"/>
  <c r="D131"/>
  <c r="G25" l="1"/>
  <c r="G84" s="1"/>
  <c r="A8" i="33"/>
  <c r="B8" s="1"/>
  <c r="M27" i="4"/>
  <c r="K61"/>
  <c r="C40" i="26" s="1"/>
  <c r="F71" i="4"/>
  <c r="F78"/>
  <c r="F79"/>
  <c r="F77"/>
  <c r="F69"/>
  <c r="F75"/>
  <c r="F81"/>
  <c r="F74"/>
  <c r="K46"/>
  <c r="D86"/>
  <c r="F68"/>
  <c r="F76"/>
  <c r="K57"/>
  <c r="K36"/>
  <c r="K37"/>
  <c r="K56"/>
  <c r="K121"/>
  <c r="K31"/>
  <c r="K55"/>
  <c r="K91"/>
  <c r="K127"/>
  <c r="K99"/>
  <c r="K52"/>
  <c r="K124"/>
  <c r="K132"/>
  <c r="K97"/>
  <c r="G82"/>
  <c r="K135"/>
  <c r="K133"/>
  <c r="K39"/>
  <c r="K94"/>
  <c r="K130"/>
  <c r="K107"/>
  <c r="K64"/>
  <c r="K63"/>
  <c r="K54"/>
  <c r="K35"/>
  <c r="K122"/>
  <c r="K105"/>
  <c r="K62"/>
  <c r="K48"/>
  <c r="K120"/>
  <c r="K115"/>
  <c r="F73"/>
  <c r="F80"/>
  <c r="C77"/>
  <c r="C78"/>
  <c r="C72"/>
  <c r="C71"/>
  <c r="C69"/>
  <c r="C76"/>
  <c r="C74"/>
  <c r="C73"/>
  <c r="C80"/>
  <c r="C70"/>
  <c r="C79"/>
  <c r="C68"/>
  <c r="C75"/>
  <c r="C82"/>
  <c r="C81"/>
  <c r="K81" s="1"/>
  <c r="K60"/>
  <c r="K58"/>
  <c r="B27"/>
  <c r="D88"/>
  <c r="K88" s="1"/>
  <c r="D85"/>
  <c r="D87"/>
  <c r="D84"/>
  <c r="K30"/>
  <c r="K66"/>
  <c r="K44"/>
  <c r="K47"/>
  <c r="K119"/>
  <c r="K67"/>
  <c r="K103"/>
  <c r="K92"/>
  <c r="K128"/>
  <c r="K111"/>
  <c r="K45"/>
  <c r="K100"/>
  <c r="K136"/>
  <c r="K41"/>
  <c r="K126"/>
  <c r="K50"/>
  <c r="K32"/>
  <c r="K53"/>
  <c r="K89"/>
  <c r="K125"/>
  <c r="K109"/>
  <c r="K98"/>
  <c r="K134"/>
  <c r="K117"/>
  <c r="K34"/>
  <c r="K106"/>
  <c r="K116"/>
  <c r="K42"/>
  <c r="K90"/>
  <c r="K59"/>
  <c r="K95"/>
  <c r="K131"/>
  <c r="K104"/>
  <c r="K33"/>
  <c r="K123"/>
  <c r="K40"/>
  <c r="K112"/>
  <c r="E74"/>
  <c r="E71"/>
  <c r="E68"/>
  <c r="E69"/>
  <c r="E73"/>
  <c r="E72"/>
  <c r="E70"/>
  <c r="E76"/>
  <c r="E75"/>
  <c r="K114"/>
  <c r="K96"/>
  <c r="K38"/>
  <c r="K113"/>
  <c r="K43"/>
  <c r="K102"/>
  <c r="K29"/>
  <c r="K65"/>
  <c r="K101"/>
  <c r="K49"/>
  <c r="K110"/>
  <c r="K51"/>
  <c r="K93"/>
  <c r="K129"/>
  <c r="K118"/>
  <c r="G83" l="1"/>
  <c r="K83" s="1"/>
  <c r="J26" i="26" s="1"/>
  <c r="G86" i="4"/>
  <c r="G87"/>
  <c r="K72"/>
  <c r="G85"/>
  <c r="G27" s="1"/>
  <c r="K78"/>
  <c r="J21" i="26" s="1"/>
  <c r="K77" i="4"/>
  <c r="B6" i="32"/>
  <c r="K79" i="4"/>
  <c r="K84"/>
  <c r="J27" i="26" s="1"/>
  <c r="C8"/>
  <c r="C22"/>
  <c r="C17"/>
  <c r="C13"/>
  <c r="J24"/>
  <c r="J41"/>
  <c r="C30"/>
  <c r="C28"/>
  <c r="J8"/>
  <c r="J39"/>
  <c r="C19"/>
  <c r="C12"/>
  <c r="C38"/>
  <c r="C21"/>
  <c r="J32"/>
  <c r="C11"/>
  <c r="C24"/>
  <c r="C23"/>
  <c r="C9"/>
  <c r="J31"/>
  <c r="C37"/>
  <c r="C39"/>
  <c r="C27"/>
  <c r="C14"/>
  <c r="C42"/>
  <c r="J37"/>
  <c r="J40"/>
  <c r="J42"/>
  <c r="J34"/>
  <c r="C10"/>
  <c r="C35"/>
  <c r="C15"/>
  <c r="K86" i="4"/>
  <c r="J36" i="26"/>
  <c r="J15"/>
  <c r="J38"/>
  <c r="J33"/>
  <c r="C32"/>
  <c r="C29"/>
  <c r="C20"/>
  <c r="J43"/>
  <c r="J45" s="1"/>
  <c r="J35"/>
  <c r="J10"/>
  <c r="C26"/>
  <c r="J9"/>
  <c r="J20"/>
  <c r="J22"/>
  <c r="C41"/>
  <c r="C33"/>
  <c r="C43"/>
  <c r="C18"/>
  <c r="C31"/>
  <c r="C34"/>
  <c r="C16"/>
  <c r="C36"/>
  <c r="C25"/>
  <c r="K87" i="4"/>
  <c r="K85"/>
  <c r="K76"/>
  <c r="K71"/>
  <c r="K70"/>
  <c r="K82"/>
  <c r="K69"/>
  <c r="K80"/>
  <c r="K68"/>
  <c r="K73"/>
  <c r="K75"/>
  <c r="K74"/>
  <c r="B11" i="33" l="1"/>
  <c r="J12" i="26"/>
  <c r="J19"/>
  <c r="J17"/>
  <c r="J16"/>
  <c r="J23"/>
  <c r="J25"/>
  <c r="J14"/>
  <c r="J28"/>
  <c r="J18"/>
  <c r="J11"/>
  <c r="J13"/>
  <c r="J30"/>
  <c r="J29"/>
  <c r="D27" i="4"/>
  <c r="E27"/>
  <c r="F27"/>
  <c r="C27"/>
  <c r="K27" l="1"/>
  <c r="G136" i="1" l="1"/>
  <c r="F136"/>
  <c r="E136"/>
  <c r="D136"/>
  <c r="B136"/>
  <c r="G135"/>
  <c r="F135"/>
  <c r="E135"/>
  <c r="D135"/>
  <c r="B135"/>
  <c r="G134"/>
  <c r="F134"/>
  <c r="E134"/>
  <c r="D134"/>
  <c r="B134"/>
  <c r="G133"/>
  <c r="F133"/>
  <c r="E133"/>
  <c r="D133"/>
  <c r="B133"/>
  <c r="G132"/>
  <c r="F132"/>
  <c r="E132"/>
  <c r="D132"/>
  <c r="B132"/>
  <c r="G131"/>
  <c r="F131"/>
  <c r="E131"/>
  <c r="D131"/>
  <c r="B131"/>
  <c r="G130"/>
  <c r="F130"/>
  <c r="E130"/>
  <c r="D130"/>
  <c r="B130"/>
  <c r="G129"/>
  <c r="F129"/>
  <c r="E129"/>
  <c r="D129"/>
  <c r="B129"/>
  <c r="G128"/>
  <c r="F128"/>
  <c r="E128"/>
  <c r="D128"/>
  <c r="B128"/>
  <c r="G127"/>
  <c r="F127"/>
  <c r="E127"/>
  <c r="D127"/>
  <c r="B127"/>
  <c r="G126"/>
  <c r="F126"/>
  <c r="E126"/>
  <c r="D126"/>
  <c r="B126"/>
  <c r="G125"/>
  <c r="F125"/>
  <c r="E125"/>
  <c r="D125"/>
  <c r="B125"/>
  <c r="G124"/>
  <c r="F124"/>
  <c r="E124"/>
  <c r="B124"/>
  <c r="G123"/>
  <c r="F123"/>
  <c r="E123"/>
  <c r="B123"/>
  <c r="G122"/>
  <c r="F122"/>
  <c r="E122"/>
  <c r="B122"/>
  <c r="G121"/>
  <c r="F121"/>
  <c r="E121"/>
  <c r="B121"/>
  <c r="G120"/>
  <c r="F120"/>
  <c r="E120"/>
  <c r="B120"/>
  <c r="G119"/>
  <c r="F119"/>
  <c r="E119"/>
  <c r="B119"/>
  <c r="G118"/>
  <c r="F118"/>
  <c r="E118"/>
  <c r="B118"/>
  <c r="G117"/>
  <c r="F117"/>
  <c r="E117"/>
  <c r="B117"/>
  <c r="G116"/>
  <c r="F116"/>
  <c r="E116"/>
  <c r="B116"/>
  <c r="G115"/>
  <c r="F115"/>
  <c r="E115"/>
  <c r="B115"/>
  <c r="G114"/>
  <c r="F114"/>
  <c r="E114"/>
  <c r="B114"/>
  <c r="G113"/>
  <c r="F113"/>
  <c r="E113"/>
  <c r="B113"/>
  <c r="G112"/>
  <c r="F112"/>
  <c r="B112"/>
  <c r="G111"/>
  <c r="F111"/>
  <c r="B111"/>
  <c r="G110"/>
  <c r="F110"/>
  <c r="B110"/>
  <c r="G109"/>
  <c r="F109"/>
  <c r="B109"/>
  <c r="G108"/>
  <c r="B108"/>
  <c r="G107"/>
  <c r="B107"/>
  <c r="G106"/>
  <c r="B106"/>
  <c r="B105"/>
  <c r="B104"/>
  <c r="G75"/>
  <c r="F75"/>
  <c r="G74"/>
  <c r="F74"/>
  <c r="G73"/>
  <c r="F73"/>
  <c r="G72"/>
  <c r="F72"/>
  <c r="G71"/>
  <c r="F71"/>
  <c r="G70"/>
  <c r="F70"/>
  <c r="G69"/>
  <c r="F69"/>
  <c r="G68"/>
  <c r="F68"/>
  <c r="G67"/>
  <c r="F67"/>
  <c r="G66"/>
  <c r="F66"/>
  <c r="G65"/>
  <c r="F65"/>
  <c r="G64"/>
  <c r="F64"/>
  <c r="G63"/>
  <c r="F63"/>
  <c r="E63"/>
  <c r="G62"/>
  <c r="F62"/>
  <c r="E62"/>
  <c r="G61"/>
  <c r="F61"/>
  <c r="E61"/>
  <c r="G60"/>
  <c r="F60"/>
  <c r="E60"/>
  <c r="G59"/>
  <c r="F59"/>
  <c r="E59"/>
  <c r="G58"/>
  <c r="F58"/>
  <c r="E58"/>
  <c r="D58"/>
  <c r="G57"/>
  <c r="F57"/>
  <c r="E57"/>
  <c r="D57"/>
  <c r="G56"/>
  <c r="F56"/>
  <c r="E56"/>
  <c r="D56"/>
  <c r="G55"/>
  <c r="F55"/>
  <c r="E55"/>
  <c r="D55"/>
  <c r="G54"/>
  <c r="F54"/>
  <c r="E54"/>
  <c r="D54"/>
  <c r="G53"/>
  <c r="F53"/>
  <c r="E53"/>
  <c r="D53"/>
  <c r="G52"/>
  <c r="F52"/>
  <c r="E52"/>
  <c r="D52"/>
  <c r="G51"/>
  <c r="F51"/>
  <c r="E51"/>
  <c r="D51"/>
  <c r="G50"/>
  <c r="F50"/>
  <c r="E50"/>
  <c r="D50"/>
  <c r="G49"/>
  <c r="F49"/>
  <c r="E49"/>
  <c r="D49"/>
  <c r="G48"/>
  <c r="F48"/>
  <c r="E48"/>
  <c r="D48"/>
  <c r="G47"/>
  <c r="F47"/>
  <c r="E47"/>
  <c r="D47"/>
  <c r="G46"/>
  <c r="F46"/>
  <c r="E46"/>
  <c r="D46"/>
  <c r="G45"/>
  <c r="F45"/>
  <c r="E45"/>
  <c r="D45"/>
  <c r="G44"/>
  <c r="F44"/>
  <c r="E44"/>
  <c r="D44"/>
  <c r="G43"/>
  <c r="F43"/>
  <c r="E43"/>
  <c r="D43"/>
  <c r="G42"/>
  <c r="F42"/>
  <c r="E42"/>
  <c r="D42"/>
  <c r="G41"/>
  <c r="F41"/>
  <c r="E41"/>
  <c r="D41"/>
  <c r="G40"/>
  <c r="F40"/>
  <c r="E40"/>
  <c r="D40"/>
  <c r="G39"/>
  <c r="F39"/>
  <c r="E39"/>
  <c r="D39"/>
  <c r="G38"/>
  <c r="F38"/>
  <c r="E38"/>
  <c r="D38"/>
  <c r="G37"/>
  <c r="F37"/>
  <c r="E37"/>
  <c r="D37"/>
  <c r="G36"/>
  <c r="F36"/>
  <c r="E36"/>
  <c r="D36"/>
  <c r="G35"/>
  <c r="F35"/>
  <c r="E35"/>
  <c r="D35"/>
  <c r="G34"/>
  <c r="F34"/>
  <c r="E34"/>
  <c r="D34"/>
  <c r="G33"/>
  <c r="F33"/>
  <c r="E33"/>
  <c r="D33"/>
  <c r="G32"/>
  <c r="F32"/>
  <c r="E32"/>
  <c r="D32"/>
  <c r="G31"/>
  <c r="F31"/>
  <c r="E31"/>
  <c r="D31"/>
  <c r="G30"/>
  <c r="F30"/>
  <c r="E30"/>
  <c r="D30"/>
  <c r="G29"/>
  <c r="F29"/>
  <c r="E29"/>
  <c r="D29"/>
  <c r="B103"/>
  <c r="B102"/>
  <c r="B101"/>
  <c r="B100"/>
  <c r="B99"/>
  <c r="B98"/>
  <c r="B97"/>
  <c r="B96"/>
  <c r="B95"/>
  <c r="B94"/>
  <c r="B93"/>
  <c r="B92"/>
  <c r="B91"/>
  <c r="B90"/>
  <c r="B89"/>
  <c r="B88"/>
  <c r="B87"/>
  <c r="B86"/>
  <c r="B85"/>
  <c r="B84"/>
  <c r="B83"/>
  <c r="B82"/>
  <c r="B81"/>
  <c r="B80"/>
  <c r="B79"/>
  <c r="B78"/>
  <c r="B77"/>
  <c r="B76"/>
  <c r="B75"/>
  <c r="B74"/>
  <c r="B73"/>
  <c r="B72"/>
  <c r="B71"/>
  <c r="B70"/>
  <c r="B69"/>
  <c r="B68"/>
  <c r="B64"/>
  <c r="B57"/>
  <c r="B50"/>
  <c r="B42"/>
  <c r="B35"/>
  <c r="B62"/>
  <c r="C13"/>
  <c r="E12" s="1"/>
  <c r="C20" i="7" s="1"/>
  <c r="B13" i="1"/>
  <c r="D10" s="1"/>
  <c r="D11" l="1"/>
  <c r="B144"/>
  <c r="B143"/>
  <c r="D7"/>
  <c r="B22" i="7" s="1"/>
  <c r="E11" i="1"/>
  <c r="B29"/>
  <c r="B44"/>
  <c r="B58"/>
  <c r="B65"/>
  <c r="B30"/>
  <c r="B38"/>
  <c r="B45"/>
  <c r="B52"/>
  <c r="B59"/>
  <c r="B66"/>
  <c r="B32"/>
  <c r="B39"/>
  <c r="B46"/>
  <c r="B53"/>
  <c r="B60"/>
  <c r="B27"/>
  <c r="B33"/>
  <c r="B40"/>
  <c r="B47"/>
  <c r="B54"/>
  <c r="B67"/>
  <c r="B61"/>
  <c r="B55"/>
  <c r="B49"/>
  <c r="B43"/>
  <c r="B37"/>
  <c r="B31"/>
  <c r="B34"/>
  <c r="B41"/>
  <c r="B48"/>
  <c r="B56"/>
  <c r="B63"/>
  <c r="B36"/>
  <c r="B51"/>
  <c r="E7"/>
  <c r="E8"/>
  <c r="E9"/>
  <c r="E10"/>
  <c r="F10" s="1"/>
  <c r="D9"/>
  <c r="D12"/>
  <c r="D8"/>
  <c r="F9" l="1"/>
  <c r="F7"/>
  <c r="C22" i="7"/>
  <c r="D22" s="1"/>
  <c r="F11" i="1"/>
  <c r="F8"/>
  <c r="F12"/>
  <c r="C20" s="1"/>
  <c r="B20" i="7"/>
  <c r="D20" s="1"/>
  <c r="B142" i="1"/>
  <c r="B141"/>
  <c r="B140"/>
  <c r="E19" i="7" s="1"/>
  <c r="E13" i="1"/>
  <c r="D13"/>
  <c r="D20" l="1"/>
  <c r="E20"/>
  <c r="E23" i="7"/>
  <c r="F20" i="1"/>
  <c r="G20"/>
  <c r="G90" s="1"/>
  <c r="G79"/>
  <c r="G100"/>
  <c r="G77"/>
  <c r="G86"/>
  <c r="G95"/>
  <c r="G83"/>
  <c r="G92"/>
  <c r="G102"/>
  <c r="G85"/>
  <c r="G78"/>
  <c r="G87"/>
  <c r="G96"/>
  <c r="G82"/>
  <c r="G97"/>
  <c r="G105"/>
  <c r="E21" i="7"/>
  <c r="B8" i="6" s="1"/>
  <c r="B20" i="19" s="1"/>
  <c r="C100" i="1"/>
  <c r="C76"/>
  <c r="C52"/>
  <c r="C136"/>
  <c r="C132"/>
  <c r="C128"/>
  <c r="C124"/>
  <c r="C120"/>
  <c r="C112"/>
  <c r="C91"/>
  <c r="C62"/>
  <c r="C97"/>
  <c r="C68"/>
  <c r="C39"/>
  <c r="C103"/>
  <c r="C74"/>
  <c r="C45"/>
  <c r="C108"/>
  <c r="C87"/>
  <c r="C59"/>
  <c r="C30"/>
  <c r="C93"/>
  <c r="C65"/>
  <c r="C36"/>
  <c r="C99"/>
  <c r="C71"/>
  <c r="C42"/>
  <c r="C29"/>
  <c r="C63"/>
  <c r="C55"/>
  <c r="C34"/>
  <c r="C125"/>
  <c r="C69"/>
  <c r="C47"/>
  <c r="C53"/>
  <c r="C66"/>
  <c r="C72"/>
  <c r="C78"/>
  <c r="C94"/>
  <c r="C70"/>
  <c r="C46"/>
  <c r="C135"/>
  <c r="C131"/>
  <c r="C127"/>
  <c r="C123"/>
  <c r="C119"/>
  <c r="C109"/>
  <c r="C84"/>
  <c r="C48"/>
  <c r="C90"/>
  <c r="C61"/>
  <c r="C32"/>
  <c r="C96"/>
  <c r="C67"/>
  <c r="C38"/>
  <c r="C106"/>
  <c r="C80"/>
  <c r="C51"/>
  <c r="C115"/>
  <c r="C86"/>
  <c r="C57"/>
  <c r="C92"/>
  <c r="C35"/>
  <c r="C56"/>
  <c r="C82"/>
  <c r="C133"/>
  <c r="C121"/>
  <c r="C98"/>
  <c r="C75"/>
  <c r="C81"/>
  <c r="C95"/>
  <c r="C101"/>
  <c r="C105"/>
  <c r="C41"/>
  <c r="C88"/>
  <c r="C64"/>
  <c r="C40"/>
  <c r="C134"/>
  <c r="C130"/>
  <c r="C126"/>
  <c r="C122"/>
  <c r="C118"/>
  <c r="C107"/>
  <c r="C77"/>
  <c r="C33"/>
  <c r="C83"/>
  <c r="C54"/>
  <c r="C113"/>
  <c r="C89"/>
  <c r="C60"/>
  <c r="C31"/>
  <c r="C102"/>
  <c r="C73"/>
  <c r="C44"/>
  <c r="C111"/>
  <c r="C79"/>
  <c r="C50"/>
  <c r="C116"/>
  <c r="C85"/>
  <c r="C58"/>
  <c r="C129"/>
  <c r="C117"/>
  <c r="C104"/>
  <c r="C110"/>
  <c r="C114"/>
  <c r="C37"/>
  <c r="C43"/>
  <c r="C49"/>
  <c r="G91"/>
  <c r="G103"/>
  <c r="F8" i="6"/>
  <c r="E102" i="1"/>
  <c r="E99"/>
  <c r="E112"/>
  <c r="E111"/>
  <c r="E110"/>
  <c r="E109"/>
  <c r="E108"/>
  <c r="E107"/>
  <c r="E106"/>
  <c r="E105"/>
  <c r="E104"/>
  <c r="E103"/>
  <c r="E100"/>
  <c r="E97"/>
  <c r="E95"/>
  <c r="E88"/>
  <c r="E86"/>
  <c r="E79"/>
  <c r="E77"/>
  <c r="E72"/>
  <c r="E64"/>
  <c r="E93"/>
  <c r="E84"/>
  <c r="E75"/>
  <c r="E67"/>
  <c r="E91"/>
  <c r="E89"/>
  <c r="E82"/>
  <c r="E80"/>
  <c r="E70"/>
  <c r="E65"/>
  <c r="E96"/>
  <c r="E87"/>
  <c r="E78"/>
  <c r="E73"/>
  <c r="E68"/>
  <c r="E98"/>
  <c r="E94"/>
  <c r="E92"/>
  <c r="E85"/>
  <c r="E83"/>
  <c r="E76"/>
  <c r="E71"/>
  <c r="E66"/>
  <c r="E101"/>
  <c r="E90"/>
  <c r="E81"/>
  <c r="E74"/>
  <c r="E69"/>
  <c r="F108"/>
  <c r="F107"/>
  <c r="F106"/>
  <c r="F105"/>
  <c r="F104"/>
  <c r="F103"/>
  <c r="F100"/>
  <c r="F97"/>
  <c r="F101"/>
  <c r="F98"/>
  <c r="F95"/>
  <c r="F92"/>
  <c r="F89"/>
  <c r="F86"/>
  <c r="F83"/>
  <c r="F80"/>
  <c r="F77"/>
  <c r="F93"/>
  <c r="F84"/>
  <c r="F91"/>
  <c r="F82"/>
  <c r="F99"/>
  <c r="F96"/>
  <c r="F87"/>
  <c r="F78"/>
  <c r="F94"/>
  <c r="F85"/>
  <c r="F76"/>
  <c r="F102"/>
  <c r="F90"/>
  <c r="F81"/>
  <c r="F88"/>
  <c r="F79"/>
  <c r="C27"/>
  <c r="D102"/>
  <c r="D99"/>
  <c r="D124"/>
  <c r="H124" s="1"/>
  <c r="J124" s="1"/>
  <c r="D123"/>
  <c r="D122"/>
  <c r="D121"/>
  <c r="H121" s="1"/>
  <c r="J121" s="1"/>
  <c r="D120"/>
  <c r="D119"/>
  <c r="H119" s="1"/>
  <c r="J119" s="1"/>
  <c r="D118"/>
  <c r="H118" s="1"/>
  <c r="J118" s="1"/>
  <c r="D117"/>
  <c r="H117" s="1"/>
  <c r="J117" s="1"/>
  <c r="D116"/>
  <c r="H116" s="1"/>
  <c r="J116" s="1"/>
  <c r="D115"/>
  <c r="H115" s="1"/>
  <c r="J115" s="1"/>
  <c r="D114"/>
  <c r="D113"/>
  <c r="D112"/>
  <c r="D111"/>
  <c r="H111" s="1"/>
  <c r="J111" s="1"/>
  <c r="D110"/>
  <c r="D109"/>
  <c r="H109" s="1"/>
  <c r="J109" s="1"/>
  <c r="D108"/>
  <c r="D107"/>
  <c r="H107" s="1"/>
  <c r="J107" s="1"/>
  <c r="D106"/>
  <c r="D105"/>
  <c r="D104"/>
  <c r="D103"/>
  <c r="D100"/>
  <c r="D97"/>
  <c r="D94"/>
  <c r="D91"/>
  <c r="D88"/>
  <c r="D85"/>
  <c r="D82"/>
  <c r="D79"/>
  <c r="D76"/>
  <c r="D73"/>
  <c r="D70"/>
  <c r="D67"/>
  <c r="D64"/>
  <c r="D61"/>
  <c r="D101"/>
  <c r="D90"/>
  <c r="D81"/>
  <c r="D74"/>
  <c r="D69"/>
  <c r="D95"/>
  <c r="D86"/>
  <c r="D77"/>
  <c r="D72"/>
  <c r="H72" s="1"/>
  <c r="J72" s="1"/>
  <c r="D59"/>
  <c r="H59" s="1"/>
  <c r="J59" s="1"/>
  <c r="D93"/>
  <c r="D84"/>
  <c r="D75"/>
  <c r="D62"/>
  <c r="H62" s="1"/>
  <c r="J62" s="1"/>
  <c r="D89"/>
  <c r="D80"/>
  <c r="D65"/>
  <c r="D60"/>
  <c r="H60" s="1"/>
  <c r="J60" s="1"/>
  <c r="D96"/>
  <c r="H96" s="1"/>
  <c r="J96" s="1"/>
  <c r="D87"/>
  <c r="D78"/>
  <c r="D68"/>
  <c r="D63"/>
  <c r="H63" s="1"/>
  <c r="J63" s="1"/>
  <c r="D98"/>
  <c r="D92"/>
  <c r="D83"/>
  <c r="D71"/>
  <c r="D66"/>
  <c r="F13"/>
  <c r="B11" i="6" l="1"/>
  <c r="B15" i="33" s="1"/>
  <c r="G84" i="1"/>
  <c r="C20" i="19"/>
  <c r="A17" i="33"/>
  <c r="B17" s="1"/>
  <c r="G99" i="1"/>
  <c r="G88"/>
  <c r="G80"/>
  <c r="H114"/>
  <c r="J114" s="1"/>
  <c r="D3" i="32"/>
  <c r="D4" s="1"/>
  <c r="H122" i="1"/>
  <c r="J122" s="1"/>
  <c r="H123"/>
  <c r="J123" s="1"/>
  <c r="G76"/>
  <c r="H61"/>
  <c r="J61" s="1"/>
  <c r="H49"/>
  <c r="J49" s="1"/>
  <c r="M49"/>
  <c r="C49" i="19" s="1"/>
  <c r="H37" i="1"/>
  <c r="J37" s="1"/>
  <c r="M37"/>
  <c r="C37" i="19" s="1"/>
  <c r="H58" i="1"/>
  <c r="J58" s="1"/>
  <c r="M58"/>
  <c r="C58" i="19" s="1"/>
  <c r="H44" i="1"/>
  <c r="J44" s="1"/>
  <c r="M44"/>
  <c r="C44" i="19" s="1"/>
  <c r="H126" i="1"/>
  <c r="J126" s="1"/>
  <c r="M126"/>
  <c r="C126" i="19" s="1"/>
  <c r="H134" i="1"/>
  <c r="J134" s="1"/>
  <c r="M134"/>
  <c r="C134" i="19" s="1"/>
  <c r="H41" i="1"/>
  <c r="J41" s="1"/>
  <c r="M41"/>
  <c r="C41" i="19" s="1"/>
  <c r="H133" i="1"/>
  <c r="J133" s="1"/>
  <c r="M133"/>
  <c r="C133" i="19" s="1"/>
  <c r="H56" i="1"/>
  <c r="J56" s="1"/>
  <c r="M56"/>
  <c r="C56" i="19" s="1"/>
  <c r="H51" i="1"/>
  <c r="J51" s="1"/>
  <c r="M51"/>
  <c r="C51" i="19" s="1"/>
  <c r="H32" i="1"/>
  <c r="J32" s="1"/>
  <c r="M32"/>
  <c r="C32" i="19" s="1"/>
  <c r="H127" i="1"/>
  <c r="J127" s="1"/>
  <c r="M127"/>
  <c r="C127" i="19" s="1"/>
  <c r="H135" i="1"/>
  <c r="J135" s="1"/>
  <c r="M135"/>
  <c r="C135" i="19" s="1"/>
  <c r="H47" i="1"/>
  <c r="J47" s="1"/>
  <c r="M47"/>
  <c r="C47" i="19" s="1"/>
  <c r="H125" i="1"/>
  <c r="J125" s="1"/>
  <c r="M125"/>
  <c r="C125" i="19" s="1"/>
  <c r="H55" i="1"/>
  <c r="J55" s="1"/>
  <c r="M55"/>
  <c r="C55" i="19" s="1"/>
  <c r="H29" i="1"/>
  <c r="J29" s="1"/>
  <c r="M29"/>
  <c r="C29" i="19" s="1"/>
  <c r="H36" i="1"/>
  <c r="J36" s="1"/>
  <c r="M36"/>
  <c r="C36" i="19" s="1"/>
  <c r="H39" i="1"/>
  <c r="J39" s="1"/>
  <c r="M39"/>
  <c r="C39" i="19" s="1"/>
  <c r="H128" i="1"/>
  <c r="J128" s="1"/>
  <c r="M128"/>
  <c r="C128" i="19" s="1"/>
  <c r="H136" i="1"/>
  <c r="J136" s="1"/>
  <c r="M136"/>
  <c r="C136" i="19" s="1"/>
  <c r="G104" i="1"/>
  <c r="G89"/>
  <c r="G98"/>
  <c r="H98" s="1"/>
  <c r="J98" s="1"/>
  <c r="G93"/>
  <c r="G101"/>
  <c r="G94"/>
  <c r="G81"/>
  <c r="M110"/>
  <c r="C110" i="19" s="1"/>
  <c r="M117" i="1"/>
  <c r="C117" i="19" s="1"/>
  <c r="M116" i="1"/>
  <c r="C116" i="19" s="1"/>
  <c r="M79" i="1"/>
  <c r="C79" i="19" s="1"/>
  <c r="M102" i="1"/>
  <c r="C102" i="19" s="1"/>
  <c r="M60" i="1"/>
  <c r="C60" i="19" s="1"/>
  <c r="M113" i="1"/>
  <c r="C113" i="19" s="1"/>
  <c r="M83" i="1"/>
  <c r="C83" i="19" s="1"/>
  <c r="M77" i="1"/>
  <c r="C77" i="19" s="1"/>
  <c r="M118" i="1"/>
  <c r="C118" i="19" s="1"/>
  <c r="M64" i="1"/>
  <c r="C64" i="19" s="1"/>
  <c r="M101" i="1"/>
  <c r="C101" i="19" s="1"/>
  <c r="M81" i="1"/>
  <c r="C81" i="19" s="1"/>
  <c r="M98" i="1"/>
  <c r="C98" i="19" s="1"/>
  <c r="M92" i="1"/>
  <c r="C92" i="19" s="1"/>
  <c r="M86" i="1"/>
  <c r="C86" i="19" s="1"/>
  <c r="M106" i="1"/>
  <c r="C106" i="19" s="1"/>
  <c r="M67" i="1"/>
  <c r="C67" i="19" s="1"/>
  <c r="M90" i="1"/>
  <c r="C90" i="19" s="1"/>
  <c r="M84" i="1"/>
  <c r="C84" i="19" s="1"/>
  <c r="M119" i="1"/>
  <c r="C119" i="19" s="1"/>
  <c r="M70" i="1"/>
  <c r="C70" i="19" s="1"/>
  <c r="M78" i="1"/>
  <c r="C78" i="19" s="1"/>
  <c r="M66" i="1"/>
  <c r="C66" i="19" s="1"/>
  <c r="M71" i="1"/>
  <c r="C71" i="19" s="1"/>
  <c r="M93" i="1"/>
  <c r="C93" i="19" s="1"/>
  <c r="M59" i="1"/>
  <c r="C59" i="19" s="1"/>
  <c r="M108" i="1"/>
  <c r="C108" i="19" s="1"/>
  <c r="M74" i="1"/>
  <c r="M97"/>
  <c r="C97" i="19" s="1"/>
  <c r="M91" i="1"/>
  <c r="C91" i="19" s="1"/>
  <c r="M120" i="1"/>
  <c r="C120" i="19" s="1"/>
  <c r="M76" i="1"/>
  <c r="C76" i="19" s="1"/>
  <c r="G27" i="1"/>
  <c r="D11" i="6"/>
  <c r="F20" i="19"/>
  <c r="H43" i="1"/>
  <c r="J43" s="1"/>
  <c r="M43"/>
  <c r="C43" i="19" s="1"/>
  <c r="H129" i="1"/>
  <c r="J129" s="1"/>
  <c r="M129"/>
  <c r="C129" i="19" s="1"/>
  <c r="H50" i="1"/>
  <c r="J50" s="1"/>
  <c r="M50"/>
  <c r="C50" i="19" s="1"/>
  <c r="H31" i="1"/>
  <c r="J31" s="1"/>
  <c r="M31"/>
  <c r="C31" i="19" s="1"/>
  <c r="H54" i="1"/>
  <c r="J54" s="1"/>
  <c r="M54"/>
  <c r="C54" i="19" s="1"/>
  <c r="H33" i="1"/>
  <c r="J33" s="1"/>
  <c r="M33"/>
  <c r="C33" i="19" s="1"/>
  <c r="H130" i="1"/>
  <c r="J130" s="1"/>
  <c r="M130"/>
  <c r="C130" i="19" s="1"/>
  <c r="H40" i="1"/>
  <c r="J40" s="1"/>
  <c r="M40"/>
  <c r="C40" i="19" s="1"/>
  <c r="H35" i="1"/>
  <c r="J35" s="1"/>
  <c r="M35"/>
  <c r="C35" i="19" s="1"/>
  <c r="H57" i="1"/>
  <c r="J57" s="1"/>
  <c r="M57"/>
  <c r="C57" i="19" s="1"/>
  <c r="H38" i="1"/>
  <c r="J38" s="1"/>
  <c r="M38"/>
  <c r="C38" i="19" s="1"/>
  <c r="H48" i="1"/>
  <c r="J48" s="1"/>
  <c r="M48"/>
  <c r="C48" i="19" s="1"/>
  <c r="H131" i="1"/>
  <c r="J131" s="1"/>
  <c r="M131"/>
  <c r="C131" i="19" s="1"/>
  <c r="H46" i="1"/>
  <c r="J46" s="1"/>
  <c r="M46"/>
  <c r="C46" i="19" s="1"/>
  <c r="H53" i="1"/>
  <c r="J53" s="1"/>
  <c r="M53"/>
  <c r="C53" i="19" s="1"/>
  <c r="H34" i="1"/>
  <c r="J34" s="1"/>
  <c r="M34"/>
  <c r="C34" i="19" s="1"/>
  <c r="H42" i="1"/>
  <c r="J42" s="1"/>
  <c r="M42"/>
  <c r="C42" i="19" s="1"/>
  <c r="H30" i="1"/>
  <c r="J30" s="1"/>
  <c r="M30"/>
  <c r="C30" i="19" s="1"/>
  <c r="H45" i="1"/>
  <c r="J45" s="1"/>
  <c r="M45"/>
  <c r="C45" i="19" s="1"/>
  <c r="H132" i="1"/>
  <c r="J132" s="1"/>
  <c r="M132"/>
  <c r="C132" i="19" s="1"/>
  <c r="H52" i="1"/>
  <c r="J52" s="1"/>
  <c r="M52"/>
  <c r="C52" i="19" s="1"/>
  <c r="M114" i="1"/>
  <c r="C114" i="19" s="1"/>
  <c r="M104" i="1"/>
  <c r="C104" i="19" s="1"/>
  <c r="M85" i="1"/>
  <c r="C85" i="19" s="1"/>
  <c r="M111" i="1"/>
  <c r="C111" i="19" s="1"/>
  <c r="M73" i="1"/>
  <c r="C73" i="19" s="1"/>
  <c r="M89" i="1"/>
  <c r="C89" i="19" s="1"/>
  <c r="M107" i="1"/>
  <c r="C107" i="19" s="1"/>
  <c r="M122" i="1"/>
  <c r="C122" i="19" s="1"/>
  <c r="M88" i="1"/>
  <c r="C88" i="19" s="1"/>
  <c r="M105" i="1"/>
  <c r="C105" i="19" s="1"/>
  <c r="M95" i="1"/>
  <c r="C95" i="19" s="1"/>
  <c r="M75" i="1"/>
  <c r="C75" i="19" s="1"/>
  <c r="M121" i="1"/>
  <c r="C121" i="19" s="1"/>
  <c r="M82" i="1"/>
  <c r="C82" i="19" s="1"/>
  <c r="M115" i="1"/>
  <c r="C115" i="19" s="1"/>
  <c r="M80" i="1"/>
  <c r="C80" i="19" s="1"/>
  <c r="M96" i="1"/>
  <c r="C96" i="19" s="1"/>
  <c r="M61" i="1"/>
  <c r="C61" i="19" s="1"/>
  <c r="M109" i="1"/>
  <c r="C109" i="19" s="1"/>
  <c r="M123" i="1"/>
  <c r="C123" i="19" s="1"/>
  <c r="M94" i="1"/>
  <c r="C94" i="19" s="1"/>
  <c r="M72" i="1"/>
  <c r="C72" i="19" s="1"/>
  <c r="M69" i="1"/>
  <c r="C69" i="19" s="1"/>
  <c r="M63" i="1"/>
  <c r="C63" i="19" s="1"/>
  <c r="M99" i="1"/>
  <c r="C99" i="19" s="1"/>
  <c r="M65" i="1"/>
  <c r="C65" i="19" s="1"/>
  <c r="M87" i="1"/>
  <c r="C87" i="19" s="1"/>
  <c r="M103" i="1"/>
  <c r="C103" i="19" s="1"/>
  <c r="M68" i="1"/>
  <c r="C68" i="19" s="1"/>
  <c r="M62" i="1"/>
  <c r="C62" i="19" s="1"/>
  <c r="M112" i="1"/>
  <c r="C112" i="19" s="1"/>
  <c r="M124" i="1"/>
  <c r="C124" i="19" s="1"/>
  <c r="M100" i="1"/>
  <c r="C100" i="19" s="1"/>
  <c r="H71" i="1"/>
  <c r="J71" s="1"/>
  <c r="H69"/>
  <c r="J69" s="1"/>
  <c r="H66"/>
  <c r="J66" s="1"/>
  <c r="H83"/>
  <c r="J83" s="1"/>
  <c r="H68"/>
  <c r="J68" s="1"/>
  <c r="H95"/>
  <c r="J95" s="1"/>
  <c r="H90"/>
  <c r="J90" s="1"/>
  <c r="H91"/>
  <c r="J91" s="1"/>
  <c r="H104"/>
  <c r="J104" s="1"/>
  <c r="H108"/>
  <c r="J108" s="1"/>
  <c r="H120"/>
  <c r="J120" s="1"/>
  <c r="H92"/>
  <c r="J92" s="1"/>
  <c r="H80"/>
  <c r="J80" s="1"/>
  <c r="H84"/>
  <c r="J84" s="1"/>
  <c r="H77"/>
  <c r="J77" s="1"/>
  <c r="H73"/>
  <c r="J73" s="1"/>
  <c r="H97"/>
  <c r="J97" s="1"/>
  <c r="H105"/>
  <c r="J105" s="1"/>
  <c r="H113"/>
  <c r="J113" s="1"/>
  <c r="H65"/>
  <c r="J65" s="1"/>
  <c r="H86"/>
  <c r="J86" s="1"/>
  <c r="H110"/>
  <c r="J110" s="1"/>
  <c r="H102"/>
  <c r="J102" s="1"/>
  <c r="H79"/>
  <c r="J79" s="1"/>
  <c r="H99"/>
  <c r="J99" s="1"/>
  <c r="H78"/>
  <c r="J78" s="1"/>
  <c r="H89"/>
  <c r="J89" s="1"/>
  <c r="H81"/>
  <c r="J81" s="1"/>
  <c r="H101"/>
  <c r="J101" s="1"/>
  <c r="H64"/>
  <c r="J64" s="1"/>
  <c r="H106"/>
  <c r="J106" s="1"/>
  <c r="H112"/>
  <c r="J112" s="1"/>
  <c r="H85"/>
  <c r="J85" s="1"/>
  <c r="H93"/>
  <c r="J93" s="1"/>
  <c r="H67"/>
  <c r="J67" s="1"/>
  <c r="H103"/>
  <c r="J103" s="1"/>
  <c r="H74"/>
  <c r="J74" s="1"/>
  <c r="H76"/>
  <c r="J76" s="1"/>
  <c r="H87"/>
  <c r="J87" s="1"/>
  <c r="H75"/>
  <c r="J75" s="1"/>
  <c r="F27"/>
  <c r="H82"/>
  <c r="J82" s="1"/>
  <c r="H88"/>
  <c r="J88" s="1"/>
  <c r="H94"/>
  <c r="J94" s="1"/>
  <c r="D27"/>
  <c r="H100"/>
  <c r="J100" s="1"/>
  <c r="H70"/>
  <c r="J70" s="1"/>
  <c r="E27"/>
  <c r="F11" i="6" l="1"/>
  <c r="D17" i="32" s="1"/>
  <c r="B17" s="1"/>
  <c r="F22" i="19"/>
  <c r="M27" i="1"/>
  <c r="C74" i="19"/>
  <c r="C27" s="1"/>
  <c r="J27" i="1"/>
  <c r="H27"/>
  <c r="D13" i="30" l="1"/>
  <c r="D12"/>
  <c r="H9" s="1"/>
  <c r="D11"/>
  <c r="H5" s="1"/>
  <c r="K74" i="1"/>
  <c r="K32"/>
  <c r="K80"/>
  <c r="K33"/>
  <c r="K62"/>
  <c r="K97"/>
  <c r="K66"/>
  <c r="K126"/>
  <c r="B126" i="19" s="1"/>
  <c r="K87" i="1"/>
  <c r="K57"/>
  <c r="K36"/>
  <c r="K45"/>
  <c r="K68"/>
  <c r="K67"/>
  <c r="K79"/>
  <c r="K78"/>
  <c r="K111"/>
  <c r="B111" i="19" s="1"/>
  <c r="K104" i="1"/>
  <c r="B104" i="19" s="1"/>
  <c r="K121" i="1"/>
  <c r="B121" i="19" s="1"/>
  <c r="K128" i="1"/>
  <c r="B128" i="19" s="1"/>
  <c r="K64" i="1"/>
  <c r="K134"/>
  <c r="B134" i="19" s="1"/>
  <c r="K59" i="1"/>
  <c r="K135"/>
  <c r="B135" i="19" s="1"/>
  <c r="K136" i="1"/>
  <c r="B136" i="19" s="1"/>
  <c r="K131" i="1"/>
  <c r="B131" i="19" s="1"/>
  <c r="K72" i="1"/>
  <c r="K84"/>
  <c r="K69"/>
  <c r="K56"/>
  <c r="K63"/>
  <c r="K105"/>
  <c r="B105" i="19" s="1"/>
  <c r="K99" i="1"/>
  <c r="K75"/>
  <c r="K86"/>
  <c r="K132"/>
  <c r="B132" i="19" s="1"/>
  <c r="K82" i="1"/>
  <c r="K123"/>
  <c r="B123" i="19" s="1"/>
  <c r="K76" i="1"/>
  <c r="K122"/>
  <c r="B122" i="19" s="1"/>
  <c r="K94" i="1"/>
  <c r="K88"/>
  <c r="K47"/>
  <c r="K31"/>
  <c r="K102"/>
  <c r="B102" i="19" s="1"/>
  <c r="K51" i="1"/>
  <c r="K90"/>
  <c r="K46"/>
  <c r="K127"/>
  <c r="B127" i="19" s="1"/>
  <c r="K70" i="1"/>
  <c r="K113"/>
  <c r="B113" i="19" s="1"/>
  <c r="K125" i="1"/>
  <c r="B125" i="19" s="1"/>
  <c r="K40" i="1"/>
  <c r="K73"/>
  <c r="K43"/>
  <c r="K98"/>
  <c r="K30"/>
  <c r="K92"/>
  <c r="K39"/>
  <c r="K37"/>
  <c r="K91"/>
  <c r="K54"/>
  <c r="K83"/>
  <c r="K77"/>
  <c r="K116"/>
  <c r="B116" i="19" s="1"/>
  <c r="K65" i="1"/>
  <c r="K114"/>
  <c r="B114" i="19" s="1"/>
  <c r="K29" i="1"/>
  <c r="K95"/>
  <c r="K71"/>
  <c r="K106"/>
  <c r="B106" i="19" s="1"/>
  <c r="K55" i="1"/>
  <c r="K96"/>
  <c r="K81"/>
  <c r="K60"/>
  <c r="K85"/>
  <c r="K50"/>
  <c r="K61"/>
  <c r="K129"/>
  <c r="B129" i="19" s="1"/>
  <c r="K34" i="1"/>
  <c r="K120"/>
  <c r="B120" i="19" s="1"/>
  <c r="K89" i="1"/>
  <c r="K124"/>
  <c r="B124" i="19" s="1"/>
  <c r="K118" i="1"/>
  <c r="B118" i="19" s="1"/>
  <c r="K119" i="1"/>
  <c r="B119" i="19" s="1"/>
  <c r="K110" i="1"/>
  <c r="B110" i="19" s="1"/>
  <c r="K44" i="1"/>
  <c r="K109"/>
  <c r="B109" i="19" s="1"/>
  <c r="K49" i="1"/>
  <c r="K108"/>
  <c r="B108" i="19" s="1"/>
  <c r="K93" i="1"/>
  <c r="K48"/>
  <c r="K52"/>
  <c r="K41"/>
  <c r="K53"/>
  <c r="K35"/>
  <c r="K107"/>
  <c r="B107" i="19" s="1"/>
  <c r="K117" i="1"/>
  <c r="B117" i="19" s="1"/>
  <c r="K101" i="1"/>
  <c r="B101" i="19" s="1"/>
  <c r="K112" i="1"/>
  <c r="B112" i="19" s="1"/>
  <c r="K42" i="1"/>
  <c r="K38"/>
  <c r="K103"/>
  <c r="B103" i="19" s="1"/>
  <c r="K115" i="1"/>
  <c r="B115" i="19" s="1"/>
  <c r="K133" i="1"/>
  <c r="B133" i="19" s="1"/>
  <c r="K58" i="1"/>
  <c r="K130"/>
  <c r="B130" i="19" s="1"/>
  <c r="K100" i="1"/>
  <c r="A11" i="33" l="1"/>
  <c r="A10" s="1"/>
  <c r="B10" s="1"/>
  <c r="C4" i="32"/>
  <c r="B4" s="1"/>
  <c r="C8" i="30"/>
  <c r="D8"/>
  <c r="D10"/>
  <c r="H10" s="1"/>
  <c r="C3" i="32"/>
  <c r="B3" s="1"/>
  <c r="D14" i="30"/>
  <c r="H8" s="1"/>
  <c r="D16"/>
  <c r="H6" s="1"/>
  <c r="B9"/>
  <c r="C9"/>
  <c r="B8"/>
  <c r="D15"/>
  <c r="H7" s="1"/>
  <c r="D9"/>
  <c r="I43" i="26"/>
  <c r="I45" s="1"/>
  <c r="B100" i="19"/>
  <c r="B37" i="26"/>
  <c r="B58" i="19"/>
  <c r="B17" i="26"/>
  <c r="B38" i="19"/>
  <c r="I117"/>
  <c r="H117"/>
  <c r="J117"/>
  <c r="B20" i="26"/>
  <c r="B41" i="19"/>
  <c r="B27" i="26"/>
  <c r="B48" i="19"/>
  <c r="I109"/>
  <c r="H109"/>
  <c r="J109"/>
  <c r="J118"/>
  <c r="I118"/>
  <c r="H118"/>
  <c r="I32" i="26"/>
  <c r="B89" i="19"/>
  <c r="B40" i="26"/>
  <c r="B61" i="19"/>
  <c r="I24" i="26"/>
  <c r="B81" i="19"/>
  <c r="I14" i="26"/>
  <c r="B71" i="19"/>
  <c r="J125"/>
  <c r="I125"/>
  <c r="H125"/>
  <c r="I130"/>
  <c r="J130"/>
  <c r="H130"/>
  <c r="J133"/>
  <c r="I133"/>
  <c r="H133"/>
  <c r="H103"/>
  <c r="J103"/>
  <c r="I103"/>
  <c r="B21" i="26"/>
  <c r="B42" i="19"/>
  <c r="J101"/>
  <c r="I101"/>
  <c r="H101"/>
  <c r="H107"/>
  <c r="J107"/>
  <c r="I107"/>
  <c r="B32" i="26"/>
  <c r="B53" i="19"/>
  <c r="B31" i="26"/>
  <c r="B52" i="19"/>
  <c r="I36" i="26"/>
  <c r="B93" i="19"/>
  <c r="B28" i="26"/>
  <c r="B49" i="19"/>
  <c r="B23" i="26"/>
  <c r="B44" i="19"/>
  <c r="I119"/>
  <c r="H119"/>
  <c r="J119"/>
  <c r="I124"/>
  <c r="J124"/>
  <c r="H124"/>
  <c r="H120"/>
  <c r="I120"/>
  <c r="J120"/>
  <c r="J129"/>
  <c r="I129"/>
  <c r="H129"/>
  <c r="B29" i="26"/>
  <c r="B50" i="19"/>
  <c r="B39" i="26"/>
  <c r="B60" i="19"/>
  <c r="I39" i="26"/>
  <c r="B96" i="19"/>
  <c r="I106"/>
  <c r="J106"/>
  <c r="H106"/>
  <c r="I38" i="26"/>
  <c r="B95" i="19"/>
  <c r="I114"/>
  <c r="J114"/>
  <c r="H114"/>
  <c r="I116"/>
  <c r="J116"/>
  <c r="H116"/>
  <c r="I26" i="26"/>
  <c r="B83" i="19"/>
  <c r="I34" i="26"/>
  <c r="B91" i="19"/>
  <c r="B18" i="26"/>
  <c r="B39" i="19"/>
  <c r="B9" i="26"/>
  <c r="B30" i="19"/>
  <c r="B22" i="26"/>
  <c r="B43" i="19"/>
  <c r="B19" i="26"/>
  <c r="B40" i="19"/>
  <c r="J113"/>
  <c r="I113"/>
  <c r="H113"/>
  <c r="H127"/>
  <c r="J127"/>
  <c r="I127"/>
  <c r="I33" i="26"/>
  <c r="B90" i="19"/>
  <c r="J102"/>
  <c r="I102"/>
  <c r="H102"/>
  <c r="B26" i="26"/>
  <c r="B47" i="19"/>
  <c r="I37" i="26"/>
  <c r="B94" i="19"/>
  <c r="I19" i="26"/>
  <c r="B76" i="19"/>
  <c r="I25" i="26"/>
  <c r="B82" i="19"/>
  <c r="I29" i="26"/>
  <c r="B86" i="19"/>
  <c r="I42" i="26"/>
  <c r="B99" i="19"/>
  <c r="B42" i="26"/>
  <c r="B63" i="19"/>
  <c r="I12" i="26"/>
  <c r="B69" i="19"/>
  <c r="I15" i="26"/>
  <c r="B72" i="19"/>
  <c r="I136"/>
  <c r="J136"/>
  <c r="H136"/>
  <c r="B38" i="26"/>
  <c r="B59" i="19"/>
  <c r="B43" i="26"/>
  <c r="B64" i="19"/>
  <c r="J121"/>
  <c r="I121"/>
  <c r="H121"/>
  <c r="H111"/>
  <c r="J111"/>
  <c r="I111"/>
  <c r="I22" i="26"/>
  <c r="B79" i="19"/>
  <c r="I11" i="26"/>
  <c r="B68" i="19"/>
  <c r="B15" i="26"/>
  <c r="B36" i="19"/>
  <c r="I30" i="26"/>
  <c r="B87" i="19"/>
  <c r="I9" i="26"/>
  <c r="B66" i="19"/>
  <c r="B41" i="26"/>
  <c r="B62" i="19"/>
  <c r="I23" i="26"/>
  <c r="B80" i="19"/>
  <c r="I17" i="26"/>
  <c r="B74" i="19"/>
  <c r="H115"/>
  <c r="J115"/>
  <c r="I115"/>
  <c r="I112"/>
  <c r="J112"/>
  <c r="H112"/>
  <c r="B14" i="26"/>
  <c r="B35" i="19"/>
  <c r="H108"/>
  <c r="I108"/>
  <c r="J108"/>
  <c r="J110"/>
  <c r="I110"/>
  <c r="H110"/>
  <c r="B13" i="26"/>
  <c r="B34" i="19"/>
  <c r="I28" i="26"/>
  <c r="B85" i="19"/>
  <c r="B34" i="26"/>
  <c r="B55" i="19"/>
  <c r="B8" i="26"/>
  <c r="B29" i="19"/>
  <c r="I8" i="26"/>
  <c r="B65" i="19"/>
  <c r="I20" i="26"/>
  <c r="B77" i="19"/>
  <c r="B33" i="26"/>
  <c r="B54" i="19"/>
  <c r="B16" i="26"/>
  <c r="B37" i="19"/>
  <c r="I35" i="26"/>
  <c r="B92" i="19"/>
  <c r="I41" i="26"/>
  <c r="B98" i="19"/>
  <c r="I16" i="26"/>
  <c r="B73" i="19"/>
  <c r="I13" i="26"/>
  <c r="B70" i="19"/>
  <c r="B25" i="26"/>
  <c r="B46" i="19"/>
  <c r="B30" i="26"/>
  <c r="B51" i="19"/>
  <c r="B10" i="26"/>
  <c r="B31" i="19"/>
  <c r="I31" i="26"/>
  <c r="B88" i="19"/>
  <c r="J122"/>
  <c r="H122"/>
  <c r="I122"/>
  <c r="I123"/>
  <c r="H123"/>
  <c r="J123"/>
  <c r="H132"/>
  <c r="I132"/>
  <c r="J132"/>
  <c r="I18" i="26"/>
  <c r="B75" i="19"/>
  <c r="J105"/>
  <c r="I105"/>
  <c r="H105"/>
  <c r="B35" i="26"/>
  <c r="B56" i="19"/>
  <c r="I27" i="26"/>
  <c r="B84" i="19"/>
  <c r="H131"/>
  <c r="J131"/>
  <c r="I131"/>
  <c r="H135"/>
  <c r="I135"/>
  <c r="J135"/>
  <c r="H134"/>
  <c r="J134"/>
  <c r="I134"/>
  <c r="H128"/>
  <c r="I128"/>
  <c r="J128"/>
  <c r="I104"/>
  <c r="J104"/>
  <c r="H104"/>
  <c r="I21" i="26"/>
  <c r="B78" i="19"/>
  <c r="I10" i="26"/>
  <c r="B67" i="19"/>
  <c r="B24" i="26"/>
  <c r="B45" i="19"/>
  <c r="B36" i="26"/>
  <c r="B57" i="19"/>
  <c r="H126"/>
  <c r="J126"/>
  <c r="I126"/>
  <c r="I40" i="26"/>
  <c r="B97" i="19"/>
  <c r="B12" i="26"/>
  <c r="B33" i="19"/>
  <c r="B11" i="26"/>
  <c r="B32" i="19"/>
  <c r="K27" i="1"/>
  <c r="H13" i="30" l="1"/>
  <c r="G5" s="1"/>
  <c r="J5" s="1"/>
  <c r="K116" i="19"/>
  <c r="H116" i="22" s="1"/>
  <c r="K116" s="1"/>
  <c r="K101" i="19"/>
  <c r="H101" i="22" s="1"/>
  <c r="K101" s="1"/>
  <c r="M101" s="1"/>
  <c r="K122" i="19"/>
  <c r="H122" i="22" s="1"/>
  <c r="K122" s="1"/>
  <c r="K105" i="19"/>
  <c r="H105" i="22" s="1"/>
  <c r="K105" s="1"/>
  <c r="M105" s="1"/>
  <c r="K112" i="19"/>
  <c r="H112" i="22" s="1"/>
  <c r="K112" s="1"/>
  <c r="K106" i="19"/>
  <c r="H106" i="22" s="1"/>
  <c r="K106" s="1"/>
  <c r="M106" s="1"/>
  <c r="K110" i="19"/>
  <c r="H110" i="22" s="1"/>
  <c r="K110" s="1"/>
  <c r="K133" i="19"/>
  <c r="H133" i="22" s="1"/>
  <c r="K133" s="1"/>
  <c r="M133" s="1"/>
  <c r="K125" i="19"/>
  <c r="H125" i="22" s="1"/>
  <c r="K125" s="1"/>
  <c r="G11" i="30"/>
  <c r="J11" s="1"/>
  <c r="B146" i="19"/>
  <c r="C5" i="30"/>
  <c r="B147" i="19"/>
  <c r="B145"/>
  <c r="B5" i="30"/>
  <c r="B144" i="19"/>
  <c r="K136"/>
  <c r="H136" i="22" s="1"/>
  <c r="K136" s="1"/>
  <c r="M136" s="1"/>
  <c r="K117" i="19"/>
  <c r="H117" i="22" s="1"/>
  <c r="K117" s="1"/>
  <c r="M117" s="1"/>
  <c r="J32" i="19"/>
  <c r="H32"/>
  <c r="I32"/>
  <c r="J97"/>
  <c r="H97"/>
  <c r="I97"/>
  <c r="H84"/>
  <c r="J84"/>
  <c r="I84"/>
  <c r="H56"/>
  <c r="J56"/>
  <c r="I56"/>
  <c r="I88"/>
  <c r="J88"/>
  <c r="H88"/>
  <c r="I51"/>
  <c r="H51"/>
  <c r="J51"/>
  <c r="H70"/>
  <c r="I70"/>
  <c r="J70"/>
  <c r="J98"/>
  <c r="H98"/>
  <c r="I98"/>
  <c r="I37"/>
  <c r="J37"/>
  <c r="H37"/>
  <c r="H57"/>
  <c r="I57"/>
  <c r="J57"/>
  <c r="J45"/>
  <c r="H45"/>
  <c r="I45"/>
  <c r="I67"/>
  <c r="H67"/>
  <c r="J67"/>
  <c r="I78"/>
  <c r="H78"/>
  <c r="J78"/>
  <c r="H75"/>
  <c r="I75"/>
  <c r="J75"/>
  <c r="I72"/>
  <c r="H72"/>
  <c r="J72"/>
  <c r="J69"/>
  <c r="H69"/>
  <c r="I69"/>
  <c r="J63"/>
  <c r="H63"/>
  <c r="I63"/>
  <c r="I99"/>
  <c r="H99"/>
  <c r="J99"/>
  <c r="I86"/>
  <c r="J86"/>
  <c r="H86"/>
  <c r="H82"/>
  <c r="I82"/>
  <c r="J82"/>
  <c r="J76"/>
  <c r="H76"/>
  <c r="I76"/>
  <c r="I94"/>
  <c r="H94"/>
  <c r="J94"/>
  <c r="J47"/>
  <c r="H47"/>
  <c r="I47"/>
  <c r="J96"/>
  <c r="H96"/>
  <c r="I96"/>
  <c r="J60"/>
  <c r="H60"/>
  <c r="I60"/>
  <c r="I50"/>
  <c r="H50"/>
  <c r="J50"/>
  <c r="H44"/>
  <c r="I44"/>
  <c r="J44"/>
  <c r="H49"/>
  <c r="I49"/>
  <c r="J49"/>
  <c r="J93"/>
  <c r="I93"/>
  <c r="H93"/>
  <c r="J52"/>
  <c r="I52"/>
  <c r="H52"/>
  <c r="J53"/>
  <c r="H53"/>
  <c r="I53"/>
  <c r="J42"/>
  <c r="I42"/>
  <c r="H42"/>
  <c r="I71"/>
  <c r="J71"/>
  <c r="H71"/>
  <c r="H81"/>
  <c r="J81"/>
  <c r="I81"/>
  <c r="H61"/>
  <c r="J61"/>
  <c r="I61"/>
  <c r="I89"/>
  <c r="J89"/>
  <c r="H89"/>
  <c r="H48"/>
  <c r="J48"/>
  <c r="I48"/>
  <c r="I41"/>
  <c r="J41"/>
  <c r="H41"/>
  <c r="K128"/>
  <c r="H128" i="22" s="1"/>
  <c r="K128" s="1"/>
  <c r="K135" i="19"/>
  <c r="H135" i="22" s="1"/>
  <c r="K135" s="1"/>
  <c r="K104" i="19"/>
  <c r="H104" i="22" s="1"/>
  <c r="K104" s="1"/>
  <c r="K134" i="19"/>
  <c r="H134" i="22" s="1"/>
  <c r="K134" s="1"/>
  <c r="K131" i="19"/>
  <c r="H131" i="22" s="1"/>
  <c r="K131" s="1"/>
  <c r="K132" i="19"/>
  <c r="H132" i="22" s="1"/>
  <c r="K132" s="1"/>
  <c r="K123" i="19"/>
  <c r="H123" i="22" s="1"/>
  <c r="K123" s="1"/>
  <c r="K108" i="19"/>
  <c r="H108" i="22" s="1"/>
  <c r="K108" s="1"/>
  <c r="K115" i="19"/>
  <c r="H115" i="22" s="1"/>
  <c r="K115" s="1"/>
  <c r="K121" i="19"/>
  <c r="H121" i="22" s="1"/>
  <c r="K121" s="1"/>
  <c r="K102" i="19"/>
  <c r="H102" i="22" s="1"/>
  <c r="K102" s="1"/>
  <c r="K113" i="19"/>
  <c r="H113" i="22" s="1"/>
  <c r="K113" s="1"/>
  <c r="K114" i="19"/>
  <c r="H114" i="22" s="1"/>
  <c r="K114" s="1"/>
  <c r="K129" i="19"/>
  <c r="H129" i="22" s="1"/>
  <c r="K129" s="1"/>
  <c r="K124" i="19"/>
  <c r="H124" i="22" s="1"/>
  <c r="K124" s="1"/>
  <c r="K119" i="19"/>
  <c r="H119" i="22" s="1"/>
  <c r="K119" s="1"/>
  <c r="K107" i="19"/>
  <c r="H107" i="22" s="1"/>
  <c r="K107" s="1"/>
  <c r="K103" i="19"/>
  <c r="H103" i="22" s="1"/>
  <c r="K103" s="1"/>
  <c r="K130" i="19"/>
  <c r="H130" i="22" s="1"/>
  <c r="K130" s="1"/>
  <c r="K118" i="19"/>
  <c r="H118" i="22" s="1"/>
  <c r="K118" s="1"/>
  <c r="K109" i="19"/>
  <c r="H109" i="22" s="1"/>
  <c r="K109" s="1"/>
  <c r="H33" i="19"/>
  <c r="J33"/>
  <c r="I33"/>
  <c r="M122" i="22"/>
  <c r="I122"/>
  <c r="J122" s="1"/>
  <c r="I31" i="19"/>
  <c r="J31"/>
  <c r="H31"/>
  <c r="I46"/>
  <c r="J46"/>
  <c r="H46"/>
  <c r="H73"/>
  <c r="I73"/>
  <c r="J73"/>
  <c r="J92"/>
  <c r="I92"/>
  <c r="H92"/>
  <c r="J54"/>
  <c r="I54"/>
  <c r="H54"/>
  <c r="H77"/>
  <c r="J77"/>
  <c r="I77"/>
  <c r="I65"/>
  <c r="H65"/>
  <c r="J65"/>
  <c r="I29"/>
  <c r="H29"/>
  <c r="J29"/>
  <c r="H55"/>
  <c r="I55"/>
  <c r="J55"/>
  <c r="J85"/>
  <c r="H85"/>
  <c r="I85"/>
  <c r="J34"/>
  <c r="I34"/>
  <c r="H34"/>
  <c r="M110" i="22"/>
  <c r="I110"/>
  <c r="J110" s="1"/>
  <c r="J35" i="19"/>
  <c r="H35"/>
  <c r="I35"/>
  <c r="M112" i="22"/>
  <c r="I112"/>
  <c r="J112" s="1"/>
  <c r="I74" i="19"/>
  <c r="H74"/>
  <c r="B27"/>
  <c r="J74"/>
  <c r="I80"/>
  <c r="J80"/>
  <c r="H80"/>
  <c r="J62"/>
  <c r="H62"/>
  <c r="I62"/>
  <c r="J66"/>
  <c r="I66"/>
  <c r="H66"/>
  <c r="H87"/>
  <c r="I87"/>
  <c r="J87"/>
  <c r="J36"/>
  <c r="I36"/>
  <c r="H36"/>
  <c r="I68"/>
  <c r="H68"/>
  <c r="J68"/>
  <c r="J79"/>
  <c r="H79"/>
  <c r="I79"/>
  <c r="H64"/>
  <c r="I64"/>
  <c r="J64"/>
  <c r="I59"/>
  <c r="J59"/>
  <c r="H59"/>
  <c r="I136" i="22"/>
  <c r="J136" s="1"/>
  <c r="H90" i="19"/>
  <c r="J90"/>
  <c r="I90"/>
  <c r="I40"/>
  <c r="H40"/>
  <c r="J40"/>
  <c r="I43"/>
  <c r="J43"/>
  <c r="H43"/>
  <c r="J30"/>
  <c r="H30"/>
  <c r="I30"/>
  <c r="H39"/>
  <c r="I39"/>
  <c r="J39"/>
  <c r="H91"/>
  <c r="J91"/>
  <c r="I91"/>
  <c r="I83"/>
  <c r="H83"/>
  <c r="J83"/>
  <c r="M116" i="22"/>
  <c r="I116"/>
  <c r="J116" s="1"/>
  <c r="J95" i="19"/>
  <c r="H95"/>
  <c r="I95"/>
  <c r="M125" i="22"/>
  <c r="I125"/>
  <c r="J125" s="1"/>
  <c r="I38" i="19"/>
  <c r="J38"/>
  <c r="H38"/>
  <c r="I58"/>
  <c r="H58"/>
  <c r="J58"/>
  <c r="I100"/>
  <c r="H100"/>
  <c r="J100"/>
  <c r="K126"/>
  <c r="H126" i="22" s="1"/>
  <c r="K126" s="1"/>
  <c r="K111" i="19"/>
  <c r="H111" i="22" s="1"/>
  <c r="K111" s="1"/>
  <c r="K127" i="19"/>
  <c r="H127" i="22" s="1"/>
  <c r="K127" s="1"/>
  <c r="K120" i="19"/>
  <c r="H120" i="22" s="1"/>
  <c r="K120" s="1"/>
  <c r="I101" l="1"/>
  <c r="J101" s="1"/>
  <c r="G9" i="30"/>
  <c r="J9" s="1"/>
  <c r="I117" i="22"/>
  <c r="J117" s="1"/>
  <c r="I133"/>
  <c r="J133" s="1"/>
  <c r="I106"/>
  <c r="J106" s="1"/>
  <c r="G7" i="30"/>
  <c r="J7" s="1"/>
  <c r="G8"/>
  <c r="J8" s="1"/>
  <c r="G13"/>
  <c r="I105" i="22"/>
  <c r="J105" s="1"/>
  <c r="G6" i="30"/>
  <c r="J6" s="1"/>
  <c r="G10"/>
  <c r="J10" s="1"/>
  <c r="G12"/>
  <c r="J12" s="1"/>
  <c r="B150" i="19"/>
  <c r="B149"/>
  <c r="D5" i="30"/>
  <c r="O136" i="22"/>
  <c r="P136"/>
  <c r="M120"/>
  <c r="I120"/>
  <c r="J120" s="1"/>
  <c r="K58" i="19"/>
  <c r="H58" i="22" s="1"/>
  <c r="K58" s="1"/>
  <c r="B35" i="11"/>
  <c r="B16"/>
  <c r="K39" i="19"/>
  <c r="H39" i="22" s="1"/>
  <c r="K39" s="1"/>
  <c r="B20" i="11"/>
  <c r="K43" i="19"/>
  <c r="H43" i="22" s="1"/>
  <c r="K43" s="1"/>
  <c r="K40" i="19"/>
  <c r="H40" i="22" s="1"/>
  <c r="K40" s="1"/>
  <c r="B17" i="11"/>
  <c r="B67"/>
  <c r="K90" i="19"/>
  <c r="H90" i="22" s="1"/>
  <c r="K90" s="1"/>
  <c r="B41" i="11"/>
  <c r="K64" i="19"/>
  <c r="H64" i="22" s="1"/>
  <c r="K64" s="1"/>
  <c r="M127"/>
  <c r="I127"/>
  <c r="J127" s="1"/>
  <c r="M126"/>
  <c r="I126"/>
  <c r="J126" s="1"/>
  <c r="B77" i="11"/>
  <c r="K100" i="19"/>
  <c r="H100" i="22" s="1"/>
  <c r="K100" s="1"/>
  <c r="B60" i="11"/>
  <c r="K83" i="19"/>
  <c r="H83" i="22" s="1"/>
  <c r="K83" s="1"/>
  <c r="B68" i="11"/>
  <c r="K91" i="19"/>
  <c r="H91" i="22" s="1"/>
  <c r="K91" s="1"/>
  <c r="B36" i="11"/>
  <c r="K59" i="19"/>
  <c r="H59" i="22" s="1"/>
  <c r="K59" s="1"/>
  <c r="K68" i="19"/>
  <c r="H68" i="22" s="1"/>
  <c r="K68" s="1"/>
  <c r="B45" i="11"/>
  <c r="B13"/>
  <c r="K36" i="19"/>
  <c r="H36" i="22" s="1"/>
  <c r="K36" s="1"/>
  <c r="B43" i="11"/>
  <c r="K66" i="19"/>
  <c r="H66" i="22" s="1"/>
  <c r="K66" s="1"/>
  <c r="B39" i="11"/>
  <c r="K62" i="19"/>
  <c r="H62" i="22" s="1"/>
  <c r="K62" s="1"/>
  <c r="K80" i="19"/>
  <c r="H80" i="22" s="1"/>
  <c r="K80" s="1"/>
  <c r="B57" i="11"/>
  <c r="B12"/>
  <c r="K35" i="19"/>
  <c r="H35" i="22" s="1"/>
  <c r="K35" s="1"/>
  <c r="B11" i="11"/>
  <c r="K34" i="19"/>
  <c r="H34" i="22" s="1"/>
  <c r="K34" s="1"/>
  <c r="K85" i="19"/>
  <c r="H85" i="22" s="1"/>
  <c r="K85" s="1"/>
  <c r="B62" i="11"/>
  <c r="B32"/>
  <c r="K55" i="19"/>
  <c r="H55" i="22" s="1"/>
  <c r="K55" s="1"/>
  <c r="K29" i="19"/>
  <c r="H29" i="22" s="1"/>
  <c r="K29" s="1"/>
  <c r="B6" i="11"/>
  <c r="B31"/>
  <c r="K54" i="19"/>
  <c r="H54" i="22" s="1"/>
  <c r="K54" s="1"/>
  <c r="K73" i="19"/>
  <c r="H73" i="22" s="1"/>
  <c r="K73" s="1"/>
  <c r="B50" i="11"/>
  <c r="B8"/>
  <c r="K31" i="19"/>
  <c r="H31" i="22" s="1"/>
  <c r="K31" s="1"/>
  <c r="M109"/>
  <c r="I109"/>
  <c r="J109" s="1"/>
  <c r="M130"/>
  <c r="I130"/>
  <c r="J130" s="1"/>
  <c r="M107"/>
  <c r="I107"/>
  <c r="J107" s="1"/>
  <c r="M124"/>
  <c r="I124"/>
  <c r="J124" s="1"/>
  <c r="M114"/>
  <c r="I114"/>
  <c r="J114" s="1"/>
  <c r="M102"/>
  <c r="I102"/>
  <c r="J102" s="1"/>
  <c r="M115"/>
  <c r="I115"/>
  <c r="J115" s="1"/>
  <c r="M123"/>
  <c r="I123"/>
  <c r="J123" s="1"/>
  <c r="M131"/>
  <c r="I131"/>
  <c r="J131" s="1"/>
  <c r="M104"/>
  <c r="I104"/>
  <c r="J104" s="1"/>
  <c r="M128"/>
  <c r="I128"/>
  <c r="J128" s="1"/>
  <c r="B25" i="11"/>
  <c r="K48" i="19"/>
  <c r="H48" i="22" s="1"/>
  <c r="K48" s="1"/>
  <c r="B38" i="11"/>
  <c r="K61" i="19"/>
  <c r="H61" i="22" s="1"/>
  <c r="K61" s="1"/>
  <c r="K71" i="19"/>
  <c r="H71" i="22" s="1"/>
  <c r="K71" s="1"/>
  <c r="B48" i="11"/>
  <c r="B70"/>
  <c r="K93" i="19"/>
  <c r="H93" i="22" s="1"/>
  <c r="K93" s="1"/>
  <c r="K44" i="19"/>
  <c r="H44" i="22" s="1"/>
  <c r="K44" s="1"/>
  <c r="B21" i="11"/>
  <c r="B27"/>
  <c r="K50" i="19"/>
  <c r="H50" i="22" s="1"/>
  <c r="K50" s="1"/>
  <c r="K96" i="19"/>
  <c r="H96" i="22" s="1"/>
  <c r="K96" s="1"/>
  <c r="B73" i="11"/>
  <c r="B71"/>
  <c r="K94" i="19"/>
  <c r="H94" i="22" s="1"/>
  <c r="K94" s="1"/>
  <c r="B63" i="11"/>
  <c r="K86" i="19"/>
  <c r="H86" i="22" s="1"/>
  <c r="K86" s="1"/>
  <c r="B76" i="11"/>
  <c r="K99" i="19"/>
  <c r="H99" i="22" s="1"/>
  <c r="K99" s="1"/>
  <c r="B46" i="11"/>
  <c r="K69" i="19"/>
  <c r="H69" i="22" s="1"/>
  <c r="K69" s="1"/>
  <c r="B44" i="11"/>
  <c r="K67" i="19"/>
  <c r="H67" i="22" s="1"/>
  <c r="K67" s="1"/>
  <c r="B14" i="11"/>
  <c r="K37" i="19"/>
  <c r="H37" i="22" s="1"/>
  <c r="K37" s="1"/>
  <c r="B75" i="11"/>
  <c r="K98" i="19"/>
  <c r="H98" i="22" s="1"/>
  <c r="K98" s="1"/>
  <c r="K70" i="19"/>
  <c r="H70" i="22" s="1"/>
  <c r="K70" s="1"/>
  <c r="B47" i="11"/>
  <c r="K51" i="19"/>
  <c r="H51" i="22" s="1"/>
  <c r="K51" s="1"/>
  <c r="B28" i="11"/>
  <c r="B65"/>
  <c r="K88" i="19"/>
  <c r="H88" i="22" s="1"/>
  <c r="K88" s="1"/>
  <c r="B61" i="11"/>
  <c r="K84" i="19"/>
  <c r="H84" i="22" s="1"/>
  <c r="K84" s="1"/>
  <c r="B74" i="11"/>
  <c r="K97" i="19"/>
  <c r="H97" i="22" s="1"/>
  <c r="K97" s="1"/>
  <c r="O105"/>
  <c r="M111"/>
  <c r="O110" s="1"/>
  <c r="I111"/>
  <c r="J111" s="1"/>
  <c r="B15" i="11"/>
  <c r="K38" i="19"/>
  <c r="H38" i="22" s="1"/>
  <c r="K38" s="1"/>
  <c r="B72" i="11"/>
  <c r="K95" i="19"/>
  <c r="H95" i="22" s="1"/>
  <c r="K95" s="1"/>
  <c r="K30" i="19"/>
  <c r="H30" i="22" s="1"/>
  <c r="K30" s="1"/>
  <c r="B7" i="11"/>
  <c r="B56"/>
  <c r="K79" i="19"/>
  <c r="H79" i="22" s="1"/>
  <c r="K79" s="1"/>
  <c r="K87" i="19"/>
  <c r="H87" i="22" s="1"/>
  <c r="K87" s="1"/>
  <c r="B64" i="11"/>
  <c r="K74" i="19"/>
  <c r="H74" i="22" s="1"/>
  <c r="K74" s="1"/>
  <c r="B51" i="11"/>
  <c r="B42"/>
  <c r="K65" i="19"/>
  <c r="H65" i="22" s="1"/>
  <c r="K65" s="1"/>
  <c r="B54" i="11"/>
  <c r="K77" i="19"/>
  <c r="H77" i="22" s="1"/>
  <c r="K77" s="1"/>
  <c r="B69" i="11"/>
  <c r="K92" i="19"/>
  <c r="H92" i="22" s="1"/>
  <c r="K92" s="1"/>
  <c r="B23" i="11"/>
  <c r="K46" i="19"/>
  <c r="H46" i="22" s="1"/>
  <c r="K46" s="1"/>
  <c r="K33" i="19"/>
  <c r="H33" i="22" s="1"/>
  <c r="K33" s="1"/>
  <c r="B10" i="11"/>
  <c r="M118" i="22"/>
  <c r="O117" s="1"/>
  <c r="I118"/>
  <c r="J118" s="1"/>
  <c r="M103"/>
  <c r="I103"/>
  <c r="J103" s="1"/>
  <c r="M119"/>
  <c r="I119"/>
  <c r="J119" s="1"/>
  <c r="M129"/>
  <c r="I129"/>
  <c r="J129" s="1"/>
  <c r="M113"/>
  <c r="I113"/>
  <c r="J113" s="1"/>
  <c r="M121"/>
  <c r="I121"/>
  <c r="J121" s="1"/>
  <c r="I108"/>
  <c r="J108" s="1"/>
  <c r="M108"/>
  <c r="M132"/>
  <c r="I132"/>
  <c r="J132" s="1"/>
  <c r="M134"/>
  <c r="I134"/>
  <c r="J134" s="1"/>
  <c r="M135"/>
  <c r="I135"/>
  <c r="J135" s="1"/>
  <c r="B18" i="11"/>
  <c r="K41" i="19"/>
  <c r="H41" i="22" s="1"/>
  <c r="K41" s="1"/>
  <c r="B66" i="11"/>
  <c r="K89" i="19"/>
  <c r="H89" i="22" s="1"/>
  <c r="K89" s="1"/>
  <c r="B58" i="11"/>
  <c r="K81" i="19"/>
  <c r="H81" i="22" s="1"/>
  <c r="K81" s="1"/>
  <c r="B19" i="11"/>
  <c r="K42" i="19"/>
  <c r="H42" i="22" s="1"/>
  <c r="K42" s="1"/>
  <c r="B30" i="11"/>
  <c r="K53" i="19"/>
  <c r="H53" i="22" s="1"/>
  <c r="K53" s="1"/>
  <c r="K52" i="19"/>
  <c r="H52" i="22" s="1"/>
  <c r="K52" s="1"/>
  <c r="B29" i="11"/>
  <c r="K49" i="19"/>
  <c r="H49" i="22" s="1"/>
  <c r="K49" s="1"/>
  <c r="B26" i="11"/>
  <c r="B37"/>
  <c r="K60" i="19"/>
  <c r="H60" i="22" s="1"/>
  <c r="K60" s="1"/>
  <c r="B24" i="11"/>
  <c r="K47" i="19"/>
  <c r="H47" i="22" s="1"/>
  <c r="K47" s="1"/>
  <c r="B53" i="11"/>
  <c r="K76" i="19"/>
  <c r="H76" i="22" s="1"/>
  <c r="K76" s="1"/>
  <c r="K82" i="19"/>
  <c r="H82" i="22" s="1"/>
  <c r="K82" s="1"/>
  <c r="B59" i="11"/>
  <c r="K63" i="19"/>
  <c r="H63" i="22" s="1"/>
  <c r="K63" s="1"/>
  <c r="B40" i="11"/>
  <c r="B49"/>
  <c r="K72" i="19"/>
  <c r="H72" i="22" s="1"/>
  <c r="K72" s="1"/>
  <c r="K75" i="19"/>
  <c r="H75" i="22" s="1"/>
  <c r="K75" s="1"/>
  <c r="B52" i="11"/>
  <c r="K78" i="19"/>
  <c r="H78" i="22" s="1"/>
  <c r="K78" s="1"/>
  <c r="B55" i="11"/>
  <c r="B22"/>
  <c r="K45" i="19"/>
  <c r="H45" i="22" s="1"/>
  <c r="K45" s="1"/>
  <c r="B34" i="11"/>
  <c r="K57" i="19"/>
  <c r="H57" i="22" s="1"/>
  <c r="K57" s="1"/>
  <c r="B33" i="11"/>
  <c r="K56" i="19"/>
  <c r="H56" i="22" s="1"/>
  <c r="K56" s="1"/>
  <c r="B9" i="11"/>
  <c r="K32" i="19"/>
  <c r="H32" i="22" s="1"/>
  <c r="K32" s="1"/>
  <c r="O133" l="1"/>
  <c r="O125"/>
  <c r="O135"/>
  <c r="P135"/>
  <c r="O121"/>
  <c r="P121"/>
  <c r="O113"/>
  <c r="P113"/>
  <c r="O129"/>
  <c r="P129"/>
  <c r="O103"/>
  <c r="P103"/>
  <c r="O116"/>
  <c r="P118"/>
  <c r="O104"/>
  <c r="P104"/>
  <c r="O123"/>
  <c r="P123"/>
  <c r="O115"/>
  <c r="P115"/>
  <c r="P134"/>
  <c r="P132"/>
  <c r="P119"/>
  <c r="P111"/>
  <c r="P128"/>
  <c r="P131"/>
  <c r="P102"/>
  <c r="P114"/>
  <c r="P124"/>
  <c r="P107"/>
  <c r="P130"/>
  <c r="P109"/>
  <c r="P126"/>
  <c r="P127"/>
  <c r="P120"/>
  <c r="P122"/>
  <c r="P116"/>
  <c r="P106"/>
  <c r="P133"/>
  <c r="P117"/>
  <c r="O108"/>
  <c r="P108"/>
  <c r="P105"/>
  <c r="P112"/>
  <c r="P110"/>
  <c r="P101"/>
  <c r="P125"/>
  <c r="O101"/>
  <c r="O122"/>
  <c r="I56"/>
  <c r="J56" s="1"/>
  <c r="I45"/>
  <c r="J45" s="1"/>
  <c r="I72"/>
  <c r="J72" s="1"/>
  <c r="I76"/>
  <c r="J76" s="1"/>
  <c r="I60"/>
  <c r="J60" s="1"/>
  <c r="I42"/>
  <c r="J42" s="1"/>
  <c r="I78"/>
  <c r="J78" s="1"/>
  <c r="I75"/>
  <c r="J75" s="1"/>
  <c r="I63"/>
  <c r="J63" s="1"/>
  <c r="I82"/>
  <c r="J82" s="1"/>
  <c r="I49"/>
  <c r="J49" s="1"/>
  <c r="I52"/>
  <c r="J52" s="1"/>
  <c r="I33"/>
  <c r="J33" s="1"/>
  <c r="H27"/>
  <c r="I74"/>
  <c r="I87"/>
  <c r="J87" s="1"/>
  <c r="I30"/>
  <c r="J30" s="1"/>
  <c r="I51"/>
  <c r="J51" s="1"/>
  <c r="I70"/>
  <c r="J70" s="1"/>
  <c r="I96"/>
  <c r="J96" s="1"/>
  <c r="I44"/>
  <c r="J44" s="1"/>
  <c r="I71"/>
  <c r="J71" s="1"/>
  <c r="I73"/>
  <c r="J73" s="1"/>
  <c r="I29"/>
  <c r="J29" s="1"/>
  <c r="I85"/>
  <c r="J85" s="1"/>
  <c r="I80"/>
  <c r="J80" s="1"/>
  <c r="I68"/>
  <c r="J68" s="1"/>
  <c r="O124"/>
  <c r="O126"/>
  <c r="I40"/>
  <c r="J40" s="1"/>
  <c r="I58"/>
  <c r="J58" s="1"/>
  <c r="O134"/>
  <c r="O132"/>
  <c r="O119"/>
  <c r="O118"/>
  <c r="O111"/>
  <c r="O112"/>
  <c r="O106"/>
  <c r="O128"/>
  <c r="O131"/>
  <c r="O102"/>
  <c r="O114"/>
  <c r="O107"/>
  <c r="O130"/>
  <c r="O109"/>
  <c r="O127"/>
  <c r="O120"/>
  <c r="I32"/>
  <c r="J32" s="1"/>
  <c r="I57"/>
  <c r="J57" s="1"/>
  <c r="I47"/>
  <c r="J47" s="1"/>
  <c r="I53"/>
  <c r="J53" s="1"/>
  <c r="I81"/>
  <c r="J81" s="1"/>
  <c r="I89"/>
  <c r="J89" s="1"/>
  <c r="I41"/>
  <c r="J41" s="1"/>
  <c r="I46"/>
  <c r="J46" s="1"/>
  <c r="I92"/>
  <c r="J92" s="1"/>
  <c r="I77"/>
  <c r="J77" s="1"/>
  <c r="I65"/>
  <c r="J65" s="1"/>
  <c r="I79"/>
  <c r="J79" s="1"/>
  <c r="I95"/>
  <c r="J95" s="1"/>
  <c r="I38"/>
  <c r="J38" s="1"/>
  <c r="I97"/>
  <c r="J97" s="1"/>
  <c r="I84"/>
  <c r="J84" s="1"/>
  <c r="I88"/>
  <c r="J88" s="1"/>
  <c r="I98"/>
  <c r="J98" s="1"/>
  <c r="I37"/>
  <c r="J37" s="1"/>
  <c r="I67"/>
  <c r="J67" s="1"/>
  <c r="I69"/>
  <c r="J69" s="1"/>
  <c r="I99"/>
  <c r="J99" s="1"/>
  <c r="I86"/>
  <c r="J86" s="1"/>
  <c r="I94"/>
  <c r="J94" s="1"/>
  <c r="I50"/>
  <c r="J50" s="1"/>
  <c r="I93"/>
  <c r="J93" s="1"/>
  <c r="I61"/>
  <c r="J61" s="1"/>
  <c r="I48"/>
  <c r="J48" s="1"/>
  <c r="I31"/>
  <c r="J31" s="1"/>
  <c r="I54"/>
  <c r="J54" s="1"/>
  <c r="I55"/>
  <c r="J55" s="1"/>
  <c r="I34"/>
  <c r="J34" s="1"/>
  <c r="I35"/>
  <c r="J35" s="1"/>
  <c r="I62"/>
  <c r="J62" s="1"/>
  <c r="I66"/>
  <c r="J66" s="1"/>
  <c r="I36"/>
  <c r="J36" s="1"/>
  <c r="I59"/>
  <c r="J59" s="1"/>
  <c r="I91"/>
  <c r="J91" s="1"/>
  <c r="I83"/>
  <c r="J83" s="1"/>
  <c r="I100"/>
  <c r="J100" s="1"/>
  <c r="I64"/>
  <c r="J64" s="1"/>
  <c r="I90"/>
  <c r="J90" s="1"/>
  <c r="I43"/>
  <c r="J43" s="1"/>
  <c r="I39"/>
  <c r="J39" s="1"/>
  <c r="A26" i="33" l="1"/>
  <c r="B26" s="1"/>
  <c r="A24"/>
  <c r="B24" s="1"/>
  <c r="C4" i="30"/>
  <c r="B20" i="32"/>
  <c r="B23" s="1"/>
  <c r="B4" i="30"/>
  <c r="F22" i="26"/>
  <c r="M43" i="22"/>
  <c r="F43" i="26"/>
  <c r="M64" i="22"/>
  <c r="M26" i="26"/>
  <c r="M83" i="22"/>
  <c r="F38" i="26"/>
  <c r="M59" i="22"/>
  <c r="M36"/>
  <c r="F15" i="26"/>
  <c r="F41"/>
  <c r="M62" i="22"/>
  <c r="F13" i="26"/>
  <c r="M34" i="22"/>
  <c r="M54"/>
  <c r="F33" i="26"/>
  <c r="F27"/>
  <c r="M48" i="22"/>
  <c r="M93"/>
  <c r="M36" i="26"/>
  <c r="F29"/>
  <c r="M50" i="22"/>
  <c r="M86"/>
  <c r="M29" i="26"/>
  <c r="M69" i="22"/>
  <c r="M12" i="26"/>
  <c r="F16"/>
  <c r="M37" i="22"/>
  <c r="M31" i="26"/>
  <c r="M88" i="22"/>
  <c r="M40" i="26"/>
  <c r="M97" i="22"/>
  <c r="M38" i="26"/>
  <c r="M95" i="22"/>
  <c r="M8" i="26"/>
  <c r="M65" i="22"/>
  <c r="M35" i="26"/>
  <c r="M92" i="22"/>
  <c r="M41"/>
  <c r="F20" i="26"/>
  <c r="M89" i="22"/>
  <c r="M32" i="26"/>
  <c r="F32"/>
  <c r="M53" i="22"/>
  <c r="F36" i="26"/>
  <c r="M57" i="22"/>
  <c r="F11" i="26"/>
  <c r="M32" i="22"/>
  <c r="J74"/>
  <c r="I27"/>
  <c r="M17" i="26"/>
  <c r="M74" i="22"/>
  <c r="K27"/>
  <c r="A25" i="33" s="1"/>
  <c r="F12" i="26"/>
  <c r="M33" i="22"/>
  <c r="M52"/>
  <c r="F31" i="26"/>
  <c r="F28"/>
  <c r="M49" i="22"/>
  <c r="M25" i="26"/>
  <c r="M82" i="22"/>
  <c r="F42" i="26"/>
  <c r="M63" i="22"/>
  <c r="M18" i="26"/>
  <c r="M75" i="22"/>
  <c r="M21" i="26"/>
  <c r="M78" i="22"/>
  <c r="M42"/>
  <c r="F21" i="26"/>
  <c r="F39"/>
  <c r="M60" i="22"/>
  <c r="M76"/>
  <c r="M19" i="26"/>
  <c r="M15"/>
  <c r="M72" i="22"/>
  <c r="F24" i="26"/>
  <c r="M45" i="22"/>
  <c r="M56"/>
  <c r="F35" i="26"/>
  <c r="F18"/>
  <c r="M39" i="22"/>
  <c r="M33" i="26"/>
  <c r="M90" i="22"/>
  <c r="M43" i="26"/>
  <c r="M45" s="1"/>
  <c r="M100" i="22"/>
  <c r="M34" i="26"/>
  <c r="M91" i="22"/>
  <c r="M9" i="26"/>
  <c r="M66" i="22"/>
  <c r="F14" i="26"/>
  <c r="M35" i="22"/>
  <c r="F34" i="26"/>
  <c r="M55" i="22"/>
  <c r="M31"/>
  <c r="F10" i="26"/>
  <c r="M61" i="22"/>
  <c r="F40" i="26"/>
  <c r="M37"/>
  <c r="M94" i="22"/>
  <c r="M42" i="26"/>
  <c r="M99" i="22"/>
  <c r="M10" i="26"/>
  <c r="M67" i="22"/>
  <c r="M41" i="26"/>
  <c r="M98" i="22"/>
  <c r="M84"/>
  <c r="M27" i="26"/>
  <c r="M38" i="22"/>
  <c r="F17" i="26"/>
  <c r="M22"/>
  <c r="M79" i="22"/>
  <c r="M77"/>
  <c r="M20" i="26"/>
  <c r="F25"/>
  <c r="M46" i="22"/>
  <c r="M24" i="26"/>
  <c r="M81" i="22"/>
  <c r="M47"/>
  <c r="F26" i="26"/>
  <c r="F37"/>
  <c r="M58" i="22"/>
  <c r="F19" i="26"/>
  <c r="M40" i="22"/>
  <c r="M68"/>
  <c r="M11" i="26"/>
  <c r="M23"/>
  <c r="M80" i="22"/>
  <c r="M85"/>
  <c r="M28" i="26"/>
  <c r="F8"/>
  <c r="M29" i="22"/>
  <c r="M73"/>
  <c r="M16" i="26"/>
  <c r="M71" i="22"/>
  <c r="M14" i="26"/>
  <c r="F23"/>
  <c r="M44" i="22"/>
  <c r="M39" i="26"/>
  <c r="M96" i="22"/>
  <c r="M70"/>
  <c r="M13" i="26"/>
  <c r="M51" i="22"/>
  <c r="F30" i="26"/>
  <c r="M30" i="22"/>
  <c r="F9" i="26"/>
  <c r="M87" i="22"/>
  <c r="M30" i="26"/>
  <c r="D4" i="30" l="1"/>
  <c r="P98" i="22"/>
  <c r="P96"/>
  <c r="J27"/>
  <c r="B21" i="32"/>
  <c r="B24" s="1"/>
  <c r="P29" i="22"/>
  <c r="P6" i="27" s="1"/>
  <c r="P58" i="22"/>
  <c r="O44"/>
  <c r="B11" i="27" s="1"/>
  <c r="K11" s="1"/>
  <c r="P44" i="22"/>
  <c r="O30"/>
  <c r="P30"/>
  <c r="O51"/>
  <c r="P51"/>
  <c r="P87"/>
  <c r="P70"/>
  <c r="P71"/>
  <c r="P73"/>
  <c r="P85"/>
  <c r="P68"/>
  <c r="P47"/>
  <c r="P77"/>
  <c r="P10" i="27" s="1"/>
  <c r="P38" i="22"/>
  <c r="P84"/>
  <c r="P61"/>
  <c r="P31"/>
  <c r="P56"/>
  <c r="P76"/>
  <c r="P42"/>
  <c r="P52"/>
  <c r="P74"/>
  <c r="P32"/>
  <c r="P57"/>
  <c r="P53"/>
  <c r="P8" i="27" s="1"/>
  <c r="P92" i="22"/>
  <c r="P65"/>
  <c r="P9" i="27" s="1"/>
  <c r="P95" i="22"/>
  <c r="P97"/>
  <c r="P88"/>
  <c r="P37"/>
  <c r="P50"/>
  <c r="P48"/>
  <c r="P34"/>
  <c r="P62"/>
  <c r="P59"/>
  <c r="P83"/>
  <c r="P64"/>
  <c r="P43"/>
  <c r="O80"/>
  <c r="B23" i="27" s="1"/>
  <c r="K23" s="1"/>
  <c r="P80" i="22"/>
  <c r="O99"/>
  <c r="P99"/>
  <c r="O100"/>
  <c r="P100"/>
  <c r="P40"/>
  <c r="P81"/>
  <c r="P46"/>
  <c r="P79"/>
  <c r="P67"/>
  <c r="P94"/>
  <c r="P55"/>
  <c r="P35"/>
  <c r="P66"/>
  <c r="P91"/>
  <c r="P90"/>
  <c r="P39"/>
  <c r="P45"/>
  <c r="P72"/>
  <c r="P60"/>
  <c r="P78"/>
  <c r="P75"/>
  <c r="P63"/>
  <c r="P82"/>
  <c r="P49"/>
  <c r="P33"/>
  <c r="P89"/>
  <c r="P11" i="27" s="1"/>
  <c r="P41" i="22"/>
  <c r="P7" i="27" s="1"/>
  <c r="P69" i="22"/>
  <c r="P86"/>
  <c r="P93"/>
  <c r="P54"/>
  <c r="P36"/>
  <c r="O98"/>
  <c r="B29" i="27" s="1"/>
  <c r="K29" s="1"/>
  <c r="O87" i="22"/>
  <c r="O70"/>
  <c r="O71"/>
  <c r="B20" i="27" s="1"/>
  <c r="K20" s="1"/>
  <c r="O73" i="22"/>
  <c r="O47"/>
  <c r="B12" i="27" s="1"/>
  <c r="O61" i="22"/>
  <c r="O31"/>
  <c r="O52"/>
  <c r="O77"/>
  <c r="B22" i="27" s="1"/>
  <c r="K22" s="1"/>
  <c r="O38" i="22"/>
  <c r="B9" i="27" s="1"/>
  <c r="K9" s="1"/>
  <c r="O32" i="22"/>
  <c r="B7" i="27" s="1"/>
  <c r="K7" s="1"/>
  <c r="O56" i="22"/>
  <c r="B15" i="27" s="1"/>
  <c r="K15" s="1"/>
  <c r="O42" i="22"/>
  <c r="O57"/>
  <c r="O53"/>
  <c r="B14" i="27" s="1"/>
  <c r="K14" s="1"/>
  <c r="O92" i="22"/>
  <c r="B27" i="27" s="1"/>
  <c r="K27" s="1"/>
  <c r="O65" i="22"/>
  <c r="B18" i="27" s="1"/>
  <c r="K18" s="1"/>
  <c r="O97" i="22"/>
  <c r="O88"/>
  <c r="O34"/>
  <c r="O62"/>
  <c r="B17" i="27" s="1"/>
  <c r="K17" s="1"/>
  <c r="O58" i="22"/>
  <c r="O96"/>
  <c r="O81"/>
  <c r="O83"/>
  <c r="B24" i="27" s="1"/>
  <c r="K24" s="1"/>
  <c r="O85" i="22"/>
  <c r="O66"/>
  <c r="O68"/>
  <c r="B19" i="27" s="1"/>
  <c r="K19" s="1"/>
  <c r="O84" i="22"/>
  <c r="O29"/>
  <c r="B6" i="27" s="1"/>
  <c r="K6" s="1"/>
  <c r="O40" i="22"/>
  <c r="O46"/>
  <c r="O79"/>
  <c r="O67"/>
  <c r="O94"/>
  <c r="O55"/>
  <c r="O35"/>
  <c r="B8" i="27" s="1"/>
  <c r="K8" s="1"/>
  <c r="O91" i="22"/>
  <c r="O90"/>
  <c r="O39"/>
  <c r="O45"/>
  <c r="O72"/>
  <c r="O60"/>
  <c r="O78"/>
  <c r="O75"/>
  <c r="O63"/>
  <c r="O82"/>
  <c r="O49"/>
  <c r="O33"/>
  <c r="O89"/>
  <c r="B26" i="27" s="1"/>
  <c r="K26" s="1"/>
  <c r="O41" i="22"/>
  <c r="B10" i="27" s="1"/>
  <c r="K10" s="1"/>
  <c r="O69" i="22"/>
  <c r="O86"/>
  <c r="B25" i="27" s="1"/>
  <c r="K25" s="1"/>
  <c r="O93" i="22"/>
  <c r="O54"/>
  <c r="O36"/>
  <c r="O74"/>
  <c r="B21" i="27" s="1"/>
  <c r="K21" s="1"/>
  <c r="M25" i="22"/>
  <c r="M27"/>
  <c r="O76"/>
  <c r="O95"/>
  <c r="B28" i="27" s="1"/>
  <c r="K28" s="1"/>
  <c r="O37" i="22"/>
  <c r="O50"/>
  <c r="B13" i="27" s="1"/>
  <c r="O48" i="22"/>
  <c r="O59"/>
  <c r="B16" i="27" s="1"/>
  <c r="K16" s="1"/>
  <c r="O64" i="22"/>
  <c r="O43"/>
  <c r="K12" i="27" l="1"/>
  <c r="A28" i="33"/>
  <c r="C13" i="27"/>
  <c r="K13"/>
  <c r="C17"/>
  <c r="C40" i="29" s="1"/>
  <c r="C16" i="27"/>
  <c r="C18"/>
  <c r="C20"/>
  <c r="C26"/>
  <c r="C6"/>
  <c r="C19"/>
  <c r="C14"/>
  <c r="C9"/>
  <c r="C28"/>
  <c r="C27"/>
  <c r="C7"/>
  <c r="C15"/>
  <c r="C12"/>
  <c r="C21"/>
  <c r="D40" i="29" s="1"/>
  <c r="C25" i="27"/>
  <c r="E40" i="29" s="1"/>
  <c r="C10" i="27"/>
  <c r="C8"/>
  <c r="C29"/>
  <c r="C23"/>
  <c r="C11"/>
  <c r="C22"/>
  <c r="C24"/>
  <c r="B28" i="33" l="1"/>
  <c r="A29"/>
  <c r="B29" s="1"/>
</calcChain>
</file>

<file path=xl/comments1.xml><?xml version="1.0" encoding="utf-8"?>
<comments xmlns="http://schemas.openxmlformats.org/spreadsheetml/2006/main">
  <authors>
    <author>Casey B. Mulligan</author>
  </authors>
  <commentList>
    <comment ref="A6" authorId="0">
      <text>
        <r>
          <rPr>
            <b/>
            <sz val="9"/>
            <color indexed="81"/>
            <rFont val="Tahoma"/>
            <family val="2"/>
          </rPr>
          <t>Casey B. Mulligan:</t>
        </r>
        <r>
          <rPr>
            <sz val="9"/>
            <color indexed="81"/>
            <rFont val="Tahoma"/>
            <family val="2"/>
          </rPr>
          <t xml:space="preserve">
primeageueduration.do</t>
        </r>
      </text>
    </comment>
    <comment ref="C15" authorId="0">
      <text>
        <r>
          <rPr>
            <b/>
            <sz val="9"/>
            <color indexed="81"/>
            <rFont val="Tahoma"/>
            <family val="2"/>
          </rPr>
          <t>Casey B. Mulligan:</t>
        </r>
        <r>
          <rPr>
            <sz val="9"/>
            <color indexed="81"/>
            <rFont val="Tahoma"/>
            <family val="2"/>
          </rPr>
          <t xml:space="preserve">
Appendix 3.1</t>
        </r>
      </text>
    </comment>
    <comment ref="C16" authorId="0">
      <text>
        <r>
          <rPr>
            <b/>
            <sz val="9"/>
            <color indexed="81"/>
            <rFont val="Tahoma"/>
            <family val="2"/>
          </rPr>
          <t>Casey B. Mulligan:</t>
        </r>
        <r>
          <rPr>
            <sz val="9"/>
            <color indexed="81"/>
            <rFont val="Tahoma"/>
            <family val="2"/>
          </rPr>
          <t xml:space="preserve">
BEA Table 3.12U, Line 7</t>
        </r>
      </text>
    </comment>
    <comment ref="B20" authorId="0">
      <text>
        <r>
          <rPr>
            <b/>
            <sz val="9"/>
            <color indexed="81"/>
            <rFont val="Tahoma"/>
            <family val="2"/>
          </rPr>
          <t>Casey B. Mulligan:</t>
        </r>
        <r>
          <rPr>
            <sz val="9"/>
            <color indexed="81"/>
            <rFont val="Tahoma"/>
            <family val="2"/>
          </rPr>
          <t xml:space="preserve">
conservatively assumes that the modernization did not affect UI spending until after 2010-Q3</t>
        </r>
      </text>
    </comment>
  </commentList>
</comments>
</file>

<file path=xl/comments10.xml><?xml version="1.0" encoding="utf-8"?>
<comments xmlns="http://schemas.openxmlformats.org/spreadsheetml/2006/main">
  <authors>
    <author>Casey B. Mulligan</author>
  </authors>
  <commentList>
    <comment ref="B5" authorId="0">
      <text>
        <r>
          <rPr>
            <b/>
            <sz val="9"/>
            <color indexed="81"/>
            <rFont val="Tahoma"/>
            <family val="2"/>
          </rPr>
          <t>Casey B. Mulligan:</t>
        </r>
        <r>
          <rPr>
            <sz val="9"/>
            <color indexed="81"/>
            <rFont val="Tahoma"/>
            <family val="2"/>
          </rPr>
          <t xml:space="preserve">
TimeUseHdsSpouses.xlsx</t>
        </r>
      </text>
    </comment>
  </commentList>
</comments>
</file>

<file path=xl/comments11.xml><?xml version="1.0" encoding="utf-8"?>
<comments xmlns="http://schemas.openxmlformats.org/spreadsheetml/2006/main">
  <authors>
    <author>Casey Mulligan</author>
  </authors>
  <commentList>
    <comment ref="B15" authorId="0">
      <text>
        <r>
          <rPr>
            <b/>
            <sz val="8"/>
            <color indexed="81"/>
            <rFont val="Tahoma"/>
            <family val="2"/>
          </rPr>
          <t>Casey Mulligan:</t>
        </r>
        <r>
          <rPr>
            <sz val="8"/>
            <color indexed="81"/>
            <rFont val="Tahoma"/>
            <family val="2"/>
          </rPr>
          <t xml:space="preserve">
Table 3.1</t>
        </r>
      </text>
    </comment>
    <comment ref="B22" authorId="0">
      <text>
        <r>
          <rPr>
            <b/>
            <sz val="8"/>
            <color indexed="81"/>
            <rFont val="Tahoma"/>
            <family val="2"/>
          </rPr>
          <t>Casey Mulligan:</t>
        </r>
        <r>
          <rPr>
            <sz val="8"/>
            <color indexed="81"/>
            <rFont val="Tahoma"/>
            <family val="2"/>
          </rPr>
          <t xml:space="preserve">
FACLtimeseries.xls</t>
        </r>
      </text>
    </comment>
  </commentList>
</comments>
</file>

<file path=xl/comments12.xml><?xml version="1.0" encoding="utf-8"?>
<comments xmlns="http://schemas.openxmlformats.org/spreadsheetml/2006/main">
  <authors>
    <author>Casey Mulligan</author>
  </authors>
  <commentList>
    <comment ref="D4" authorId="0">
      <text>
        <r>
          <rPr>
            <b/>
            <sz val="8"/>
            <color indexed="81"/>
            <rFont val="Tahoma"/>
            <family val="2"/>
          </rPr>
          <t>Casey Mulligan:</t>
        </r>
        <r>
          <rPr>
            <sz val="8"/>
            <color indexed="81"/>
            <rFont val="Tahoma"/>
            <family val="2"/>
          </rPr>
          <t xml:space="preserve">
empandhours.xlsx</t>
        </r>
      </text>
    </comment>
  </commentList>
</comments>
</file>

<file path=xl/comments2.xml><?xml version="1.0" encoding="utf-8"?>
<comments xmlns="http://schemas.openxmlformats.org/spreadsheetml/2006/main">
  <authors>
    <author>Casey B. Mulligan</author>
    <author>Casey Mulligan</author>
  </authors>
  <commentList>
    <comment ref="B6" authorId="0">
      <text>
        <r>
          <rPr>
            <b/>
            <sz val="9"/>
            <color indexed="81"/>
            <rFont val="Tahoma"/>
            <family val="2"/>
          </rPr>
          <t>Casey B. Mulligan:</t>
        </r>
        <r>
          <rPr>
            <sz val="9"/>
            <color indexed="81"/>
            <rFont val="Tahoma"/>
            <family val="2"/>
          </rPr>
          <t xml:space="preserve">
Crimmel 2010, using 2009 data.</t>
        </r>
      </text>
    </comment>
    <comment ref="B9" authorId="0">
      <text>
        <r>
          <rPr>
            <b/>
            <sz val="9"/>
            <color indexed="81"/>
            <rFont val="Tahoma"/>
            <family val="2"/>
          </rPr>
          <t>Casey B. Mulligan:</t>
        </r>
        <r>
          <rPr>
            <sz val="9"/>
            <color indexed="81"/>
            <rFont val="Tahoma"/>
            <family val="2"/>
          </rPr>
          <t xml:space="preserve">
see Appendix 3.1</t>
        </r>
      </text>
    </comment>
    <comment ref="C9" authorId="0">
      <text>
        <r>
          <rPr>
            <b/>
            <sz val="9"/>
            <color indexed="81"/>
            <rFont val="Tahoma"/>
            <family val="2"/>
          </rPr>
          <t>Casey B. Mulligan:</t>
        </r>
        <r>
          <rPr>
            <sz val="9"/>
            <color indexed="81"/>
            <rFont val="Tahoma"/>
            <family val="2"/>
          </rPr>
          <t xml:space="preserve">
PersonsClaimingUIBenefitsinFederalPrograms.xls</t>
        </r>
      </text>
    </comment>
    <comment ref="B10" authorId="0">
      <text>
        <r>
          <rPr>
            <b/>
            <sz val="8"/>
            <color indexed="81"/>
            <rFont val="Tahoma"/>
            <family val="2"/>
          </rPr>
          <t>Casey B. Mulligan:</t>
        </r>
        <r>
          <rPr>
            <sz val="8"/>
            <color indexed="81"/>
            <rFont val="Tahoma"/>
            <family val="2"/>
          </rPr>
          <t xml:space="preserve">
http://www.nber.org/~taxsim/marginal-tax-rates/af.html</t>
        </r>
      </text>
    </comment>
    <comment ref="B11" authorId="0">
      <text>
        <r>
          <rPr>
            <b/>
            <sz val="9"/>
            <color indexed="81"/>
            <rFont val="Tahoma"/>
            <family val="2"/>
          </rPr>
          <t>Casey B. Mulligan:</t>
        </r>
        <r>
          <rPr>
            <sz val="9"/>
            <color indexed="81"/>
            <rFont val="Tahoma"/>
            <family val="2"/>
          </rPr>
          <t xml:space="preserve">
amortized April - Dec</t>
        </r>
      </text>
    </comment>
    <comment ref="B12" authorId="0">
      <text>
        <r>
          <rPr>
            <b/>
            <sz val="9"/>
            <color indexed="81"/>
            <rFont val="Tahoma"/>
            <family val="2"/>
          </rPr>
          <t>Casey B. Mulligan:</t>
        </r>
        <r>
          <rPr>
            <sz val="9"/>
            <color indexed="81"/>
            <rFont val="Tahoma"/>
            <family val="2"/>
          </rPr>
          <t xml:space="preserve">
http://workforcesecurity.doleta.gov/unemploy/content/data.asp, as compiled in Uibenefitsourcesbyquarter.xls.  Probably would be greater if sample limited to ages 25-64</t>
        </r>
      </text>
    </comment>
    <comment ref="B13" authorId="0">
      <text>
        <r>
          <rPr>
            <b/>
            <sz val="9"/>
            <color indexed="81"/>
            <rFont val="Tahoma"/>
            <family val="2"/>
          </rPr>
          <t>Casey B. Mulligan:</t>
        </r>
        <r>
          <rPr>
            <sz val="9"/>
            <color indexed="81"/>
            <rFont val="Tahoma"/>
            <family val="2"/>
          </rPr>
          <t xml:space="preserve">
DOL file euc_activity.xls.  Probably would be greater if sample limited to ages 25-64</t>
        </r>
      </text>
    </comment>
    <comment ref="B16" authorId="1">
      <text>
        <r>
          <rPr>
            <b/>
            <sz val="8"/>
            <color indexed="81"/>
            <rFont val="Tahoma"/>
            <family val="2"/>
          </rPr>
          <t>Casey Mulligan:</t>
        </r>
        <r>
          <rPr>
            <sz val="8"/>
            <color indexed="81"/>
            <rFont val="Tahoma"/>
            <family val="2"/>
          </rPr>
          <t xml:space="preserve">
Ratner dissertation</t>
        </r>
      </text>
    </comment>
    <comment ref="F21" authorId="0">
      <text>
        <r>
          <rPr>
            <b/>
            <sz val="9"/>
            <color indexed="81"/>
            <rFont val="Tahoma"/>
            <family val="2"/>
          </rPr>
          <t>Casey B. Mulligan:</t>
        </r>
        <r>
          <rPr>
            <sz val="9"/>
            <color indexed="81"/>
            <rFont val="Tahoma"/>
            <family val="2"/>
          </rPr>
          <t xml:space="preserve">
enrollment ended May 2010, but those enrolled continued through July 2011</t>
        </r>
      </text>
    </comment>
    <comment ref="D23" authorId="0">
      <text>
        <r>
          <rPr>
            <b/>
            <sz val="9"/>
            <color indexed="81"/>
            <rFont val="Tahoma"/>
            <family val="2"/>
          </rPr>
          <t>Casey B. Mulligan:</t>
        </r>
        <r>
          <rPr>
            <sz val="9"/>
            <color indexed="81"/>
            <rFont val="Tahoma"/>
            <family val="2"/>
          </rPr>
          <t xml:space="preserve">
FAC no longer paid to new beneficiaries</t>
        </r>
      </text>
    </comment>
    <comment ref="G23" authorId="0">
      <text>
        <r>
          <rPr>
            <b/>
            <sz val="9"/>
            <color indexed="81"/>
            <rFont val="Tahoma"/>
            <family val="2"/>
          </rPr>
          <t>Casey B. Mulligan:</t>
        </r>
        <r>
          <rPr>
            <sz val="9"/>
            <color indexed="81"/>
            <rFont val="Tahoma"/>
            <family val="2"/>
          </rPr>
          <t xml:space="preserve">
COBRA subsidy no longer available for new beneficiaries</t>
        </r>
      </text>
    </comment>
    <comment ref="E24" authorId="0">
      <text>
        <r>
          <rPr>
            <b/>
            <sz val="9"/>
            <color indexed="81"/>
            <rFont val="Tahoma"/>
            <family val="2"/>
          </rPr>
          <t>Casey B. Mulligan:</t>
        </r>
        <r>
          <rPr>
            <sz val="9"/>
            <color indexed="81"/>
            <rFont val="Tahoma"/>
            <family val="2"/>
          </rPr>
          <t xml:space="preserve">
receive refund in March</t>
        </r>
      </text>
    </comment>
    <comment ref="F24" authorId="0">
      <text>
        <r>
          <rPr>
            <b/>
            <sz val="9"/>
            <color indexed="81"/>
            <rFont val="Tahoma"/>
            <family val="2"/>
          </rPr>
          <t>Casey B. Mulligan:</t>
        </r>
        <r>
          <rPr>
            <sz val="9"/>
            <color indexed="81"/>
            <rFont val="Tahoma"/>
            <family val="2"/>
          </rPr>
          <t xml:space="preserve">
HI value from CY2009</t>
        </r>
      </text>
    </comment>
    <comment ref="G25" authorId="0">
      <text>
        <r>
          <rPr>
            <b/>
            <sz val="9"/>
            <color indexed="81"/>
            <rFont val="Tahoma"/>
            <family val="2"/>
          </rPr>
          <t>Casey B. Mulligan:</t>
        </r>
        <r>
          <rPr>
            <sz val="9"/>
            <color indexed="81"/>
            <rFont val="Tahoma"/>
            <family val="2"/>
          </rPr>
          <t xml:space="preserve">
COBRA subsidy no longer available for new beneficiaries</t>
        </r>
      </text>
    </comment>
  </commentList>
</comments>
</file>

<file path=xl/comments3.xml><?xml version="1.0" encoding="utf-8"?>
<comments xmlns="http://schemas.openxmlformats.org/spreadsheetml/2006/main">
  <authors>
    <author>Casey B. Mulligan</author>
  </authors>
  <commentList>
    <comment ref="A5" authorId="0">
      <text>
        <r>
          <rPr>
            <b/>
            <sz val="9"/>
            <color indexed="81"/>
            <rFont val="Tahoma"/>
            <family val="2"/>
          </rPr>
          <t>Casey B. Mulligan:</t>
        </r>
        <r>
          <rPr>
            <sz val="9"/>
            <color indexed="81"/>
            <rFont val="Tahoma"/>
            <family val="2"/>
          </rPr>
          <t xml:space="preserve">
PersonsClaimingUIBenefitsinFederalPrograms.xls</t>
        </r>
      </text>
    </comment>
    <comment ref="A6" authorId="0">
      <text>
        <r>
          <rPr>
            <b/>
            <sz val="9"/>
            <color indexed="81"/>
            <rFont val="Tahoma"/>
            <family val="2"/>
          </rPr>
          <t>Casey B. Mulligan:</t>
        </r>
        <r>
          <rPr>
            <sz val="9"/>
            <color indexed="81"/>
            <rFont val="Tahoma"/>
            <family val="2"/>
          </rPr>
          <t xml:space="preserve">
morgnonemployed.do (edited for age rather than relation)</t>
        </r>
      </text>
    </comment>
    <comment ref="A16" authorId="0">
      <text>
        <r>
          <rPr>
            <b/>
            <sz val="9"/>
            <color indexed="81"/>
            <rFont val="Tahoma"/>
            <family val="2"/>
          </rPr>
          <t>Casey B. Mulligan:</t>
        </r>
        <r>
          <rPr>
            <sz val="9"/>
            <color indexed="81"/>
            <rFont val="Tahoma"/>
            <family val="2"/>
          </rPr>
          <t xml:space="preserve">
http://workforcesecurity.doleta.gov/unemploy/chariu.asp</t>
        </r>
      </text>
    </comment>
    <comment ref="A17" authorId="0">
      <text>
        <r>
          <rPr>
            <b/>
            <sz val="9"/>
            <color indexed="81"/>
            <rFont val="Tahoma"/>
            <family val="2"/>
          </rPr>
          <t>Casey B. Mulligan:</t>
        </r>
        <r>
          <rPr>
            <sz val="9"/>
            <color indexed="81"/>
            <rFont val="Tahoma"/>
            <family val="2"/>
          </rPr>
          <t xml:space="preserve">
PersonsClaimingUIBenefitsinFederalPrograms.xls</t>
        </r>
      </text>
    </comment>
  </commentList>
</comments>
</file>

<file path=xl/comments4.xml><?xml version="1.0" encoding="utf-8"?>
<comments xmlns="http://schemas.openxmlformats.org/spreadsheetml/2006/main">
  <authors>
    <author>Casey B. Mulligan</author>
  </authors>
  <commentList>
    <comment ref="B20" authorId="0">
      <text>
        <r>
          <rPr>
            <b/>
            <sz val="9"/>
            <color indexed="81"/>
            <rFont val="Tahoma"/>
            <family val="2"/>
          </rPr>
          <t>Casey B. Mulligan:</t>
        </r>
        <r>
          <rPr>
            <sz val="9"/>
            <color indexed="81"/>
            <rFont val="Tahoma"/>
            <family val="2"/>
          </rPr>
          <t xml:space="preserve">
usdaadulttypesraw.do</t>
        </r>
      </text>
    </comment>
  </commentList>
</comments>
</file>

<file path=xl/comments5.xml><?xml version="1.0" encoding="utf-8"?>
<comments xmlns="http://schemas.openxmlformats.org/spreadsheetml/2006/main">
  <authors>
    <author>Casey B. Mulligan</author>
  </authors>
  <commentList>
    <comment ref="B6" authorId="0">
      <text>
        <r>
          <rPr>
            <b/>
            <sz val="9"/>
            <color indexed="81"/>
            <rFont val="Tahoma"/>
            <family val="2"/>
          </rPr>
          <t>Casey B. Mulligan:</t>
        </r>
        <r>
          <rPr>
            <sz val="9"/>
            <color indexed="81"/>
            <rFont val="Tahoma"/>
            <family val="2"/>
          </rPr>
          <t xml:space="preserve">
SNAP 2010 Characteristics, Table A.17</t>
        </r>
      </text>
    </comment>
    <comment ref="B7" authorId="0">
      <text>
        <r>
          <rPr>
            <b/>
            <sz val="9"/>
            <color indexed="81"/>
            <rFont val="Tahoma"/>
            <family val="2"/>
          </rPr>
          <t>Casey B. Mulligan:</t>
        </r>
        <r>
          <rPr>
            <sz val="9"/>
            <color indexed="81"/>
            <rFont val="Tahoma"/>
            <family val="2"/>
          </rPr>
          <t xml:space="preserve">
SNAP 2010 Characteristics, Table A.17</t>
        </r>
      </text>
    </comment>
    <comment ref="B9" authorId="0">
      <text>
        <r>
          <rPr>
            <b/>
            <sz val="9"/>
            <color indexed="81"/>
            <rFont val="Tahoma"/>
            <family val="2"/>
          </rPr>
          <t>Casey B. Mulligan:</t>
        </r>
        <r>
          <rPr>
            <sz val="9"/>
            <color indexed="81"/>
            <rFont val="Tahoma"/>
            <family val="2"/>
          </rPr>
          <t xml:space="preserve">
Participation and Costs.  http://www.fns.usda.gov/pd/90.xls</t>
        </r>
      </text>
    </comment>
    <comment ref="B10" authorId="0">
      <text>
        <r>
          <rPr>
            <b/>
            <sz val="9"/>
            <color indexed="81"/>
            <rFont val="Tahoma"/>
            <family val="2"/>
          </rPr>
          <t>Casey B. Mulligan:</t>
        </r>
        <r>
          <rPr>
            <sz val="9"/>
            <color indexed="81"/>
            <rFont val="Tahoma"/>
            <family val="2"/>
          </rPr>
          <t xml:space="preserve">
SNAP 2010 Characteristics, Table A.18</t>
        </r>
      </text>
    </comment>
    <comment ref="C23" authorId="0">
      <text>
        <r>
          <rPr>
            <b/>
            <sz val="9"/>
            <color indexed="81"/>
            <rFont val="Tahoma"/>
            <family val="2"/>
          </rPr>
          <t>Casey B. Mulligan:</t>
        </r>
        <r>
          <rPr>
            <sz val="9"/>
            <color indexed="81"/>
            <rFont val="Tahoma"/>
            <family val="2"/>
          </rPr>
          <t xml:space="preserve">
SNAPparameters.xlsx</t>
        </r>
      </text>
    </comment>
    <comment ref="D23" authorId="0">
      <text>
        <r>
          <rPr>
            <b/>
            <sz val="9"/>
            <color indexed="81"/>
            <rFont val="Tahoma"/>
            <family val="2"/>
          </rPr>
          <t>Casey B. Mulligan:</t>
        </r>
        <r>
          <rPr>
            <sz val="9"/>
            <color indexed="81"/>
            <rFont val="Tahoma"/>
            <family val="2"/>
          </rPr>
          <t xml:space="preserve">
SNAPparameters.xlsx</t>
        </r>
      </text>
    </comment>
    <comment ref="E23" authorId="0">
      <text>
        <r>
          <rPr>
            <b/>
            <sz val="9"/>
            <color indexed="81"/>
            <rFont val="Tahoma"/>
            <family val="2"/>
          </rPr>
          <t>Casey B. Mulligan:</t>
        </r>
        <r>
          <rPr>
            <sz val="9"/>
            <color indexed="81"/>
            <rFont val="Tahoma"/>
            <family val="2"/>
          </rPr>
          <t xml:space="preserve">
SNAPparameters.xlsx</t>
        </r>
      </text>
    </comment>
    <comment ref="F23" authorId="0">
      <text>
        <r>
          <rPr>
            <b/>
            <sz val="9"/>
            <color indexed="81"/>
            <rFont val="Tahoma"/>
            <family val="2"/>
          </rPr>
          <t>Casey B. Mulligan:</t>
        </r>
        <r>
          <rPr>
            <sz val="9"/>
            <color indexed="81"/>
            <rFont val="Tahoma"/>
            <family val="2"/>
          </rPr>
          <t xml:space="preserve">
SNAPparameters.xlsx</t>
        </r>
      </text>
    </comment>
  </commentList>
</comments>
</file>

<file path=xl/comments6.xml><?xml version="1.0" encoding="utf-8"?>
<comments xmlns="http://schemas.openxmlformats.org/spreadsheetml/2006/main">
  <authors>
    <author>Casey B. Mulligan</author>
  </authors>
  <commentList>
    <comment ref="A6" authorId="0">
      <text>
        <r>
          <rPr>
            <b/>
            <sz val="9"/>
            <color indexed="81"/>
            <rFont val="Tahoma"/>
            <family val="2"/>
          </rPr>
          <t>Casey B. Mulligan:</t>
        </r>
        <r>
          <rPr>
            <sz val="9"/>
            <color indexed="81"/>
            <rFont val="Tahoma"/>
            <family val="2"/>
          </rPr>
          <t xml:space="preserve">
usdahdsplfsrraw.do includes non-citizen parents of fs kids</t>
        </r>
      </text>
    </comment>
    <comment ref="A9" authorId="0">
      <text>
        <r>
          <rPr>
            <b/>
            <sz val="9"/>
            <color indexed="81"/>
            <rFont val="Tahoma"/>
            <family val="2"/>
          </rPr>
          <t>Casey B. Mulligan:</t>
        </r>
        <r>
          <rPr>
            <sz val="9"/>
            <color indexed="81"/>
            <rFont val="Tahoma"/>
            <family val="2"/>
          </rPr>
          <t xml:space="preserve">
usdahdsplfsrraw.do includes non-citizen parents of fs kids</t>
        </r>
      </text>
    </comment>
    <comment ref="A10" authorId="0">
      <text>
        <r>
          <rPr>
            <b/>
            <sz val="9"/>
            <color indexed="81"/>
            <rFont val="Tahoma"/>
            <family val="2"/>
          </rPr>
          <t>Casey B. Mulligan:</t>
        </r>
        <r>
          <rPr>
            <sz val="9"/>
            <color indexed="81"/>
            <rFont val="Tahoma"/>
            <family val="2"/>
          </rPr>
          <t xml:space="preserve">
usdahdsplfsrraw.do includes non-citizen parents of fs kids</t>
        </r>
      </text>
    </comment>
    <comment ref="A11" authorId="0">
      <text>
        <r>
          <rPr>
            <b/>
            <sz val="9"/>
            <color indexed="81"/>
            <rFont val="Tahoma"/>
            <family val="2"/>
          </rPr>
          <t>Casey B. Mulligan:</t>
        </r>
        <r>
          <rPr>
            <sz val="9"/>
            <color indexed="81"/>
            <rFont val="Tahoma"/>
            <family val="2"/>
          </rPr>
          <t xml:space="preserve">
usdahdsplfsrraw.do includes non-citizen parents of fs kids</t>
        </r>
      </text>
    </comment>
  </commentList>
</comments>
</file>

<file path=xl/comments7.xml><?xml version="1.0" encoding="utf-8"?>
<comments xmlns="http://schemas.openxmlformats.org/spreadsheetml/2006/main">
  <authors>
    <author>Casey B. Mulligan</author>
    <author>Casey Mulligan</author>
  </authors>
  <commentList>
    <comment ref="A6" authorId="0">
      <text>
        <r>
          <rPr>
            <b/>
            <sz val="9"/>
            <color indexed="81"/>
            <rFont val="Tahoma"/>
            <family val="2"/>
          </rPr>
          <t>Casey B. Mulligan:</t>
        </r>
        <r>
          <rPr>
            <sz val="9"/>
            <color indexed="81"/>
            <rFont val="Tahoma"/>
            <family val="2"/>
          </rPr>
          <t xml:space="preserve">
Holahan, John, and Irene Headen. Medicaid Coverage and Spending in Health Reform. Henry J. Kaiser Family Foundation, May 2010, p. 3</t>
        </r>
      </text>
    </comment>
    <comment ref="A7" authorId="1">
      <text>
        <r>
          <rPr>
            <b/>
            <sz val="8"/>
            <color indexed="81"/>
            <rFont val="Tahoma"/>
            <family val="2"/>
          </rPr>
          <t>Casey Mulligan:</t>
        </r>
        <r>
          <rPr>
            <sz val="8"/>
            <color indexed="81"/>
            <rFont val="Tahoma"/>
            <family val="2"/>
          </rPr>
          <t xml:space="preserve">
http://www.statehealthfacts.org/comparemaptable.jsp?ind=183&amp;cat=4</t>
        </r>
      </text>
    </comment>
    <comment ref="A9" authorId="1">
      <text>
        <r>
          <rPr>
            <b/>
            <sz val="8"/>
            <color indexed="81"/>
            <rFont val="Tahoma"/>
            <family val="2"/>
          </rPr>
          <t>Casey Mulligan:</t>
        </r>
        <r>
          <rPr>
            <sz val="8"/>
            <color indexed="81"/>
            <rFont val="Tahoma"/>
            <family val="2"/>
          </rPr>
          <t xml:space="preserve">
http://www.statehealthfacts.org/comparemaptable.jsp?ind=183&amp;cat=4</t>
        </r>
      </text>
    </comment>
    <comment ref="A10" authorId="1">
      <text>
        <r>
          <rPr>
            <b/>
            <sz val="8"/>
            <color indexed="81"/>
            <rFont val="Tahoma"/>
            <family val="2"/>
          </rPr>
          <t>Casey Mulligan:</t>
        </r>
        <r>
          <rPr>
            <sz val="8"/>
            <color indexed="81"/>
            <rFont val="Tahoma"/>
            <family val="2"/>
          </rPr>
          <t xml:space="preserve">
https://www.cms.gov/MedicareMedicaidStatSupp/downloads/2010Medicaid.zip, Table 13.4, 2008 entry</t>
        </r>
      </text>
    </comment>
  </commentList>
</comments>
</file>

<file path=xl/comments8.xml><?xml version="1.0" encoding="utf-8"?>
<comments xmlns="http://schemas.openxmlformats.org/spreadsheetml/2006/main">
  <authors>
    <author>Casey B. Mulligan</author>
    <author>Casey Mulligan</author>
  </authors>
  <commentList>
    <comment ref="E21" authorId="0">
      <text>
        <r>
          <rPr>
            <b/>
            <sz val="9"/>
            <color indexed="81"/>
            <rFont val="Tahoma"/>
            <family val="2"/>
          </rPr>
          <t>Casey B. Mulligan:</t>
        </r>
        <r>
          <rPr>
            <sz val="9"/>
            <color indexed="81"/>
            <rFont val="Tahoma"/>
            <family val="2"/>
          </rPr>
          <t xml:space="preserve">
assumed</t>
        </r>
      </text>
    </comment>
    <comment ref="A22" authorId="1">
      <text>
        <r>
          <rPr>
            <b/>
            <sz val="8"/>
            <color indexed="81"/>
            <rFont val="Tahoma"/>
            <family val="2"/>
          </rPr>
          <t>Casey Mulligan:</t>
        </r>
        <r>
          <rPr>
            <sz val="8"/>
            <color indexed="81"/>
            <rFont val="Tahoma"/>
            <family val="2"/>
          </rPr>
          <t xml:space="preserve">
meanstestedtransfers.xls</t>
        </r>
      </text>
    </comment>
  </commentList>
</comments>
</file>

<file path=xl/comments9.xml><?xml version="1.0" encoding="utf-8"?>
<comments xmlns="http://schemas.openxmlformats.org/spreadsheetml/2006/main">
  <authors>
    <author>Casey Mulligan</author>
  </authors>
  <commentList>
    <comment ref="B6" authorId="0">
      <text>
        <r>
          <rPr>
            <b/>
            <sz val="8"/>
            <color indexed="81"/>
            <rFont val="Tahoma"/>
            <family val="2"/>
          </rPr>
          <t>Casey Mulligan:</t>
        </r>
        <r>
          <rPr>
            <sz val="8"/>
            <color indexed="81"/>
            <rFont val="Tahoma"/>
            <family val="2"/>
          </rPr>
          <t xml:space="preserve">
meanstestedtransfers.xls, Table 3.2 hidden column</t>
        </r>
      </text>
    </comment>
  </commentList>
</comments>
</file>

<file path=xl/sharedStrings.xml><?xml version="1.0" encoding="utf-8"?>
<sst xmlns="http://schemas.openxmlformats.org/spreadsheetml/2006/main" count="713" uniqueCount="497">
  <si>
    <t>Statutory Changes: Unemployment Insurance Eligibility</t>
  </si>
  <si>
    <t>base population:</t>
  </si>
  <si>
    <t>UE 0-26 weeks</t>
  </si>
  <si>
    <t>UE 27-52 weeks</t>
  </si>
  <si>
    <t>UE 53-72 weeks</t>
  </si>
  <si>
    <t>UE 73-79 weeks</t>
  </si>
  <si>
    <t>UE 80-96 weeks</t>
  </si>
  <si>
    <t>relative to</t>
  </si>
  <si>
    <t>premodern eligible</t>
  </si>
  <si>
    <t>Additive factors based on weeks unemployed</t>
  </si>
  <si>
    <t>0-26</t>
  </si>
  <si>
    <t>0-96</t>
  </si>
  <si>
    <t>53-72</t>
  </si>
  <si>
    <t>27-52</t>
  </si>
  <si>
    <t>73-79</t>
  </si>
  <si>
    <t>80-96</t>
  </si>
  <si>
    <t>modernized eligible</t>
  </si>
  <si>
    <t>accumulated</t>
  </si>
  <si>
    <t>initiation date</t>
  </si>
  <si>
    <t>initiation legislation</t>
  </si>
  <si>
    <t>termination date</t>
  </si>
  <si>
    <t>termination legislation</t>
  </si>
  <si>
    <t>PL 111-5</t>
  </si>
  <si>
    <t>none</t>
  </si>
  <si>
    <t>UI Eligibility Index</t>
  </si>
  <si>
    <t>PL 91-373, PL 110-252</t>
  </si>
  <si>
    <t>PL 110-449</t>
  </si>
  <si>
    <t>PL 111-92</t>
  </si>
  <si>
    <t>still in effect as of end of 2012</t>
  </si>
  <si>
    <t>PL 112-96</t>
  </si>
  <si>
    <t>FY 2010 avg</t>
  </si>
  <si>
    <t>millions</t>
  </si>
  <si>
    <t>shares</t>
  </si>
  <si>
    <t>population statistics</t>
  </si>
  <si>
    <t>avg</t>
  </si>
  <si>
    <t>UE total</t>
  </si>
  <si>
    <t>total UI spending 2009-Q2 - 2010-Q3</t>
  </si>
  <si>
    <t>UE 97+</t>
  </si>
  <si>
    <t>Multiplicative factors</t>
  </si>
  <si>
    <t>allocated to modernization, fed &amp; states, $billions</t>
  </si>
  <si>
    <t>Population described</t>
  </si>
  <si>
    <t>Population size</t>
  </si>
  <si>
    <t>Statutory Changes: Unemployment Insurance Benefit Amounts</t>
  </si>
  <si>
    <t>COBRA incidence among UIs</t>
  </si>
  <si>
    <t>IIT MTR</t>
  </si>
  <si>
    <t>IIT exemption</t>
  </si>
  <si>
    <t>FY 2010 avg reg state benefit, weekly</t>
  </si>
  <si>
    <t>FY 2010 avg EUC Tier I benefit, weekly</t>
  </si>
  <si>
    <t>Base benefit, monthly</t>
  </si>
  <si>
    <t>Annual employer health insurance premium</t>
  </si>
  <si>
    <t>Government COBRA share</t>
  </si>
  <si>
    <t>COBRA value, weekly</t>
  </si>
  <si>
    <t>assumed aggregate subsidy, billions, for as long as it lasted (compare to ARRA budgeted amount of $25 billion)</t>
  </si>
  <si>
    <t>avg weekly UI beneficiaries, April 2009 - August 2010</t>
  </si>
  <si>
    <t>Benefit Provision</t>
  </si>
  <si>
    <t>Base Benefit</t>
  </si>
  <si>
    <t>nominal adder, weekly</t>
  </si>
  <si>
    <t>price index</t>
  </si>
  <si>
    <t>PL 111-157</t>
  </si>
  <si>
    <t>FAC, full</t>
  </si>
  <si>
    <t>FAC, grandfather</t>
  </si>
  <si>
    <t>COBRA, full</t>
  </si>
  <si>
    <t>COBRA, grandfathered</t>
  </si>
  <si>
    <t>real adder, monthly</t>
  </si>
  <si>
    <t>PCEPI</t>
  </si>
  <si>
    <t>POP</t>
  </si>
  <si>
    <t>COE</t>
  </si>
  <si>
    <t>WASCUR</t>
  </si>
  <si>
    <t>lin</t>
  </si>
  <si>
    <t>Index 2005=100</t>
  </si>
  <si>
    <t>Thousands</t>
  </si>
  <si>
    <t>Billions of Dollars</t>
  </si>
  <si>
    <t>M</t>
  </si>
  <si>
    <t>Monthly</t>
  </si>
  <si>
    <t>A</t>
  </si>
  <si>
    <t>Quarterly</t>
  </si>
  <si>
    <t>Personal Consumption Expenditures: Chain-type Price Index</t>
  </si>
  <si>
    <t>Total Population: All Ages including Armed Forces Overseas</t>
  </si>
  <si>
    <t>National Income: Compensation of Employees, Paid</t>
  </si>
  <si>
    <t>Compensation of Employees: Wages &amp; Salary Accruals</t>
  </si>
  <si>
    <t>U.S. Department of Commerce: Bureau of Economic Analysis</t>
  </si>
  <si>
    <t>U.S. Department of Commerce: Census Bureau</t>
  </si>
  <si>
    <t>date</t>
  </si>
  <si>
    <t>value</t>
  </si>
  <si>
    <t>UI Benefit Index</t>
  </si>
  <si>
    <t>Table</t>
  </si>
  <si>
    <t>3.5</t>
  </si>
  <si>
    <t>for household heads and spouses</t>
  </si>
  <si>
    <t>Labor Force Status</t>
  </si>
  <si>
    <t>Unemployed</t>
  </si>
  <si>
    <r>
      <t xml:space="preserve">Out of the </t>
    </r>
    <r>
      <rPr>
        <u/>
        <sz val="14"/>
        <color theme="1"/>
        <rFont val="Times New Roman"/>
        <family val="1"/>
        <scheme val="minor"/>
      </rPr>
      <t>Labor Force</t>
    </r>
  </si>
  <si>
    <r>
      <t xml:space="preserve">Employed with </t>
    </r>
    <r>
      <rPr>
        <u/>
        <sz val="14"/>
        <color theme="1"/>
        <rFont val="Times New Roman"/>
        <family val="1"/>
        <scheme val="minor"/>
      </rPr>
      <t>Reduced Hours</t>
    </r>
  </si>
  <si>
    <r>
      <t xml:space="preserve">Average  </t>
    </r>
    <r>
      <rPr>
        <u/>
        <sz val="14"/>
        <color theme="1"/>
        <rFont val="Times New Roman"/>
        <family val="1"/>
        <scheme val="minor"/>
      </rPr>
      <t>Marginal Worker</t>
    </r>
  </si>
  <si>
    <t>UI sometime during spell</t>
  </si>
  <si>
    <t>SNAP</t>
  </si>
  <si>
    <t>Medicaid</t>
  </si>
  <si>
    <t>all other government safety net</t>
  </si>
  <si>
    <t>Demographic weights</t>
  </si>
  <si>
    <t>Note: Demographic weights are used to define the average marginal worker.  Program weights are used to aggregate program-specific statutory generosity measures.  Medicaid weight reflects a 50 percent discount factor for in-kind benefits</t>
  </si>
  <si>
    <t>Unemployment Insurance Program Weights</t>
  </si>
  <si>
    <t>fiscal year</t>
  </si>
  <si>
    <t>adj chg</t>
  </si>
  <si>
    <t>share of UE on SNAP, FY 2010 rules</t>
  </si>
  <si>
    <t>Non-elderly heads or spouses not employed or underemployed</t>
  </si>
  <si>
    <t>calendar year</t>
  </si>
  <si>
    <t>regular UI participants, avg weekly</t>
  </si>
  <si>
    <t>UE, 0-26 weeks, ages 25-64, avg weekly</t>
  </si>
  <si>
    <t>UI recipiency rate, ages 25-64, 0-26 weeks</t>
  </si>
  <si>
    <t>Non-elerly Household Heads &amp; Spouses</t>
  </si>
  <si>
    <t>headsptab.do</t>
  </si>
  <si>
    <t>per household head or spouse</t>
  </si>
  <si>
    <t>per American</t>
  </si>
  <si>
    <t>shares of under- or not employed</t>
  </si>
  <si>
    <t>unemployed</t>
  </si>
  <si>
    <t>OLF</t>
  </si>
  <si>
    <r>
      <rPr>
        <sz val="11"/>
        <color theme="1"/>
        <rFont val="Times New Roman"/>
        <family val="1"/>
        <scheme val="minor"/>
      </rPr>
      <t>under-</t>
    </r>
    <r>
      <rPr>
        <u/>
        <sz val="11"/>
        <color theme="1"/>
        <rFont val="Times New Roman"/>
        <family val="2"/>
        <scheme val="minor"/>
      </rPr>
      <t>employed</t>
    </r>
  </si>
  <si>
    <t>employed</t>
  </si>
  <si>
    <r>
      <rPr>
        <sz val="11"/>
        <color theme="1"/>
        <rFont val="Times New Roman"/>
        <family val="1"/>
        <scheme val="minor"/>
      </rPr>
      <t>underemployed or</t>
    </r>
    <r>
      <rPr>
        <u/>
        <sz val="11"/>
        <color theme="1"/>
        <rFont val="Times New Roman"/>
        <family val="2"/>
        <scheme val="minor"/>
      </rPr>
      <t xml:space="preserve"> nonemployed</t>
    </r>
  </si>
  <si>
    <t>total</t>
  </si>
  <si>
    <t>US pop</t>
  </si>
  <si>
    <t>UE</t>
  </si>
  <si>
    <t>under</t>
  </si>
  <si>
    <t>Household heads &amp; spouses</t>
  </si>
  <si>
    <t>FY</t>
  </si>
  <si>
    <t>Household heads only</t>
  </si>
  <si>
    <t>All Adults, Hours at Work</t>
  </si>
  <si>
    <t>avghours2007.do</t>
  </si>
  <si>
    <t>SNAP Program Weights</t>
  </si>
  <si>
    <t>share of UI Reg program who are ages 25-64</t>
  </si>
  <si>
    <t>calendar years</t>
  </si>
  <si>
    <t>fraction of unemployed with spells no greater than 96 weeks</t>
  </si>
  <si>
    <t>tab</t>
  </si>
  <si>
    <t>description</t>
  </si>
  <si>
    <t>UIElg</t>
  </si>
  <si>
    <t>UIBen</t>
  </si>
  <si>
    <t>UIWeights</t>
  </si>
  <si>
    <t>primeageueduration.do</t>
  </si>
  <si>
    <t>Chronology of UI Laws</t>
  </si>
  <si>
    <t>BEA Table 3.12 U, Line 7</t>
  </si>
  <si>
    <t>SNAPWeights</t>
  </si>
  <si>
    <t>Crimmel 2010</t>
  </si>
  <si>
    <t>PersonsClaimingUIBenefitsinFederalPrograms.xls</t>
  </si>
  <si>
    <t>Uibenefitsourcesbyquarter.xls</t>
  </si>
  <si>
    <t>euc_activity.xls</t>
  </si>
  <si>
    <t>relies on (plus Appendix 3.1)</t>
  </si>
  <si>
    <t>http://workforcesecurity.doleta.gov/unemploy/chariu.asp</t>
  </si>
  <si>
    <t>FREDconnect</t>
  </si>
  <si>
    <t>automatic data updates from FRED</t>
  </si>
  <si>
    <t>CPSMORG</t>
  </si>
  <si>
    <t>CPS-MORG tabulations</t>
  </si>
  <si>
    <t>Figure</t>
  </si>
  <si>
    <t>1.1</t>
  </si>
  <si>
    <t>vshours</t>
  </si>
  <si>
    <t>data for Figure 1.1</t>
  </si>
  <si>
    <t>OLF heads, non-elderly, avg weekly</t>
  </si>
  <si>
    <t>SNAP non-elderly heads, FY 2010 rules</t>
  </si>
  <si>
    <t>SNAP non-elderly employed heads, FY 2010 rules</t>
  </si>
  <si>
    <t>share of OLF on SNAP, FY 2010 rules</t>
  </si>
  <si>
    <t>adj avg</t>
  </si>
  <si>
    <t>UI weight = fr of UE with spells &lt;=96 weeks, times UI recipiency rate under FY2010 rules</t>
  </si>
  <si>
    <t>My time-invariant estimate of the fraction of non-elderly unemployed HH heads or spouses who receive UI under FY2010 eligibility rules</t>
  </si>
  <si>
    <t>My time-invariant estimate of the fraction of non-elderly unemployed HH heads or spouses who receive SNAP under FY2010 eligibility rules</t>
  </si>
  <si>
    <t>My time-invariant estimate of the fraction of non-elderly OLF HH heads or spouses who receive SNAP under FY2010 eligibility rules</t>
  </si>
  <si>
    <t>2010 SNAP Characteristics, Tables A.1, A.25</t>
  </si>
  <si>
    <t>MedicaidWeights</t>
  </si>
  <si>
    <t>Medicaid Program Weights</t>
  </si>
  <si>
    <t>Medicaid Enrollment, June</t>
  </si>
  <si>
    <t>http://www.statehealthfacts.org/comparemaptable.jsp?ind=774&amp;cat=4</t>
  </si>
  <si>
    <t>Eldery Sh of Enrollment</t>
  </si>
  <si>
    <t>Medicaid Enrollment, June, nonelderly</t>
  </si>
  <si>
    <t>U.S. Pop</t>
  </si>
  <si>
    <r>
      <t>https://www.cms.gov/MedicareMedicaidStatSupp/downloads/2010Medicaid.zip</t>
    </r>
    <r>
      <rPr>
        <sz val="11"/>
        <rFont val="Times New Roman"/>
        <family val="2"/>
      </rPr>
      <t>, Table 13.4, 2008 entry</t>
    </r>
  </si>
  <si>
    <t>My time-invariant estimate of the number of Medicaid beneficiaries in the average household of non-elderly not- or under-employed HH heads or spouses</t>
  </si>
  <si>
    <t>https://www.cms.gov/MedicareMedicaidStatSupp/downloads/2010Medicaid.zip</t>
  </si>
  <si>
    <t>inkind discount factor</t>
  </si>
  <si>
    <t>LFSWeights</t>
  </si>
  <si>
    <t>contributions to agg hrs reduction</t>
  </si>
  <si>
    <t>under-employed</t>
  </si>
  <si>
    <t>TimeUseHdsSpouses.xlsx</t>
  </si>
  <si>
    <t>Demographic Weights</t>
  </si>
  <si>
    <t>Time Use Changes for Non-Elderly Heads and Spouses</t>
  </si>
  <si>
    <t>Statutory Changes: SNAP Benefit Amounts</t>
  </si>
  <si>
    <t>non-elderly unemployed head or spouse, and participating in weeks 1-26 under modernized rules</t>
  </si>
  <si>
    <t>non-elderly household, with income at or below 125% poverty, and participating in SNAP under FY 2010 rules</t>
  </si>
  <si>
    <t>FY 2010 avg monthly SNAP benefit</t>
  </si>
  <si>
    <t>FY 2010 avg monthly SNAP HHs</t>
  </si>
  <si>
    <t>FY 2010 price index</t>
  </si>
  <si>
    <t>FY 2010 HH w/  elderly</t>
  </si>
  <si>
    <t>elderly share of HH</t>
  </si>
  <si>
    <t>Avg HH benefit in elderly HHs, relative to overall avg</t>
  </si>
  <si>
    <t>FY 2010 avg monthly SNAP benefit, non-elderly</t>
  </si>
  <si>
    <t>nominal base benefit, monthly</t>
  </si>
  <si>
    <t>2007 COLA</t>
  </si>
  <si>
    <t>2008 COLA</t>
  </si>
  <si>
    <t>farm bill</t>
  </si>
  <si>
    <t>ARRA bonus</t>
  </si>
  <si>
    <t>2008 Farm bill</t>
  </si>
  <si>
    <t>1959-01-01 to 2012-02-01</t>
  </si>
  <si>
    <t>1952-01-01 to 2012-03-01</t>
  </si>
  <si>
    <t>1947-01-01 to 2011-10-01</t>
  </si>
  <si>
    <t>legislation still evolving; assume constant real benefit beyond the end of my price index data</t>
  </si>
  <si>
    <t>SNAP Real Benefit Index</t>
  </si>
  <si>
    <t>Nominal</t>
  </si>
  <si>
    <t>SNAPBen</t>
  </si>
  <si>
    <t>2010 SNAP Characteristics, Tables A.17, A.18</t>
  </si>
  <si>
    <t>FNS.  SNAP Participation and Costs</t>
  </si>
  <si>
    <t>SNAPElg</t>
  </si>
  <si>
    <t>SNAPparameters.xlsx</t>
  </si>
  <si>
    <t>BBCEbyState.xlsx</t>
  </si>
  <si>
    <t>Statutory Changes: SNAP Eligibility</t>
  </si>
  <si>
    <t>SNAP Eligibility Index</t>
  </si>
  <si>
    <t>see provisionstoconsider.xls for sources</t>
  </si>
  <si>
    <t>Eligibility</t>
  </si>
  <si>
    <t>Benefit Amounts</t>
  </si>
  <si>
    <t>Unemployment Insurance and related</t>
  </si>
  <si>
    <t>automatic extended benefit trigger</t>
  </si>
  <si>
    <t>American Reinvestment &amp; Recovery Act</t>
  </si>
  <si>
    <t>add 13 weeks of eligibility</t>
  </si>
  <si>
    <t>exempt $2400 UI from 2009 federal inc. tax</t>
  </si>
  <si>
    <t>-</t>
  </si>
  <si>
    <t>indefinite</t>
  </si>
  <si>
    <t>Supplemental Appropriations Act of 2008</t>
  </si>
  <si>
    <t>cover 65% of COBRA expense after layoff</t>
  </si>
  <si>
    <t>Unemp. Comp. Extension Act of 2008</t>
  </si>
  <si>
    <t>add 20 weeks of eligibility</t>
  </si>
  <si>
    <t>$25 weekly bonus</t>
  </si>
  <si>
    <t>reward states for modernizing eligibility</t>
  </si>
  <si>
    <t>eliminate extended benefit experience rating</t>
  </si>
  <si>
    <t>Worker, Homeownership, &amp; Business Assistance Act of 2009</t>
  </si>
  <si>
    <t>Farm Bill of 2002</t>
  </si>
  <si>
    <t>Farm Bill of 2008</t>
  </si>
  <si>
    <t>begin diffusion of Broad-Based Categorical Eligibility</t>
  </si>
  <si>
    <t>increase maximum benefit; exclude more income from benefit formula</t>
  </si>
  <si>
    <t>median implementation in October 2008</t>
  </si>
  <si>
    <t>increase max. benefit; more inc. excluded</t>
  </si>
  <si>
    <t>grant states relief from work requirement</t>
  </si>
  <si>
    <t>Patient Protection and Affordable Care Act of 2010</t>
  </si>
  <si>
    <t>admit able-bodied adults up to 133% FPG</t>
  </si>
  <si>
    <t>Medicaid participant under FY 2010 rules (including children)</t>
  </si>
  <si>
    <t>US estimate of ACA, KFF, %</t>
  </si>
  <si>
    <t>preACA eligible</t>
  </si>
  <si>
    <t>ACA eligible</t>
  </si>
  <si>
    <t>Medicaid Eligibility Index</t>
  </si>
  <si>
    <t>Statutory Changes: Medicaid Eligibility &amp; Benefits</t>
  </si>
  <si>
    <t>Medicaid Real Benefit Index</t>
  </si>
  <si>
    <t>PL 111-148</t>
  </si>
  <si>
    <t>MedicaidElgBen</t>
  </si>
  <si>
    <t>Holahan, John, and Irene Headen. Medicaid Coverage and Spending in Health Reform. Henry J. Kaiser Family Foundation, May 2010.</t>
  </si>
  <si>
    <t>FY 2010</t>
  </si>
  <si>
    <t>Non-elderly Hds &amp; Spouses not employed or under-employed, minus UI recipients</t>
  </si>
  <si>
    <t>ratio</t>
  </si>
  <si>
    <t>All Other Eligibility Index</t>
  </si>
  <si>
    <t>All Other Real Benefit Index</t>
  </si>
  <si>
    <t>Statutory Changes: All Other Government Means-Tested Programs Eligibility &amp; Benefits</t>
  </si>
  <si>
    <t>2010 non-elderly spending, $ billions/yr</t>
  </si>
  <si>
    <t>regular UI participants, all programs, avg weekly</t>
  </si>
  <si>
    <t>UE, ages 25-64, avg weekly</t>
  </si>
  <si>
    <t>UI recipiency rate, ages 25-64</t>
  </si>
  <si>
    <t>Heads and Spouses Not Employed or Under-employed in FY 2010</t>
  </si>
  <si>
    <t>Statutory Changes: Government Safety Net Generosity by Program and LF Status</t>
  </si>
  <si>
    <t>UI</t>
  </si>
  <si>
    <t>Other</t>
  </si>
  <si>
    <t>Program Weights by LF Status</t>
  </si>
  <si>
    <t>Reduced Hours</t>
  </si>
  <si>
    <t>Monthly Generosity Index by Program, unit weights</t>
  </si>
  <si>
    <t>Entire Government Safety Net</t>
  </si>
  <si>
    <t>Avg Marg</t>
  </si>
  <si>
    <t>OtherElgBen</t>
  </si>
  <si>
    <t>morgnonemployed.do</t>
  </si>
  <si>
    <t>meanstestedtransfers.xls</t>
  </si>
  <si>
    <t>GovGener</t>
  </si>
  <si>
    <t>Fig1.1</t>
  </si>
  <si>
    <t>Generosity of Program Rules for the Unemployed</t>
  </si>
  <si>
    <t>Hours per capita, Dec-2007 = 100, SA</t>
  </si>
  <si>
    <t>Average Work Hours Index</t>
  </si>
  <si>
    <t>hours per adult, seas. adj. annual rate</t>
  </si>
  <si>
    <t>Average Hours NOT At Work (right scale)</t>
  </si>
  <si>
    <t>Tbl3.3</t>
  </si>
  <si>
    <t>Tbl3.5</t>
  </si>
  <si>
    <t>Fig3.4</t>
  </si>
  <si>
    <t>3.2</t>
  </si>
  <si>
    <t>3.3</t>
  </si>
  <si>
    <t>3.4</t>
  </si>
  <si>
    <t>for non-elderly household heads and spouses, by labor force status</t>
  </si>
  <si>
    <t>Out of the Labor Force</t>
  </si>
  <si>
    <t>Under-employed</t>
  </si>
  <si>
    <t>Statutory Changes: Taxes, Discharges, and Total Safety Net</t>
  </si>
  <si>
    <t>AvgMargWorker</t>
  </si>
  <si>
    <t>mods</t>
  </si>
  <si>
    <t>discharges</t>
  </si>
  <si>
    <t>other taxes</t>
  </si>
  <si>
    <t>median weekly earnings</t>
  </si>
  <si>
    <t>payroll tax rate</t>
  </si>
  <si>
    <t>other tax rate</t>
  </si>
  <si>
    <t>Comp of employees</t>
  </si>
  <si>
    <t>wage accruals</t>
  </si>
  <si>
    <t>PCE deflator</t>
  </si>
  <si>
    <t>median weekly earnings, FY 2010 $</t>
  </si>
  <si>
    <t>median monthly earnings, FY 2010 $</t>
  </si>
  <si>
    <t>median monthly product., FY 2010 $</t>
  </si>
  <si>
    <t>median monthly payroll tax, FY 2010 $</t>
  </si>
  <si>
    <t>median monthly other tax, FY 2010 $</t>
  </si>
  <si>
    <t>Demographic Weights: how I weight unemployed vs OLF vs reduced hours</t>
  </si>
  <si>
    <t>Medicaid spending on elderly enrollees, relative to avg enrollee, FY2008</t>
  </si>
  <si>
    <t>Average monthly Medicaid spending, $ billions</t>
  </si>
  <si>
    <t>Price index</t>
  </si>
  <si>
    <t>Average monthly Medicaid spending, billions of FY 2010 $</t>
  </si>
  <si>
    <t>Average monthly Medicaid spending, FY 2010 $ per enrollee</t>
  </si>
  <si>
    <t>Medicaid spending on disabled enrollees, relative to avg enrollee, FY2008</t>
  </si>
  <si>
    <t>share of Medicaid enrollment that is disabled, FY 2008</t>
  </si>
  <si>
    <t>monthly Medicaid spending per non-elderly non-disabled</t>
  </si>
  <si>
    <t>Arguably the disabled spending should be included to the extent that the earnings of a head or spouse determines the Medicaid eligibility of someone who is disabled</t>
  </si>
  <si>
    <t>annualized Medicaid spending per non-elderly non-disabled</t>
  </si>
  <si>
    <t>Monthly rather than any-time-during-year enrollment is needed here: I apply a large discount (50%) to Medicaid spending because MONTHLY enrollment is so far below the number eligible in any given month. If using any-time-during-year enrollment, then a lesser discount should be applied.</t>
  </si>
  <si>
    <t>monthly non-elderly Medicaid spending per non-elderly enrollee</t>
  </si>
  <si>
    <t>median monthly payroll tax cut, FY 2010 $</t>
  </si>
  <si>
    <t>start date</t>
  </si>
  <si>
    <t>end date</t>
  </si>
  <si>
    <t>normal payroll tax</t>
  </si>
  <si>
    <t>payroll tax cut</t>
  </si>
  <si>
    <t>Other (especially federal and state personal income) taxes paid when working, minus taxes paid when not working (eg., tax on base UI benefit), expressed as a fraction of earnings when working</t>
  </si>
  <si>
    <t>public safety net only</t>
  </si>
  <si>
    <t>public + mortgage modifications</t>
  </si>
  <si>
    <t>private &amp; public safety net, including loan discharges</t>
  </si>
  <si>
    <t>entire safety net plus taxes foregone</t>
  </si>
  <si>
    <t>Generosity Indicies</t>
  </si>
  <si>
    <t>non-elderly household heads and spouses</t>
  </si>
  <si>
    <t>Displayed with its UI and SNAP Components</t>
  </si>
  <si>
    <t>Impact of Working on Net-of-tax Benefits, All Programs, Adjusted for Typical Take-up Rates</t>
  </si>
  <si>
    <t>Overall</t>
  </si>
  <si>
    <t>Month</t>
  </si>
  <si>
    <t>Elig.</t>
  </si>
  <si>
    <t>Benefit</t>
  </si>
  <si>
    <t>Safety Net</t>
  </si>
  <si>
    <t>After payroll tax cut expiration</t>
  </si>
  <si>
    <t>(does not account for any other safety net rule changes after Dec 2011)</t>
  </si>
  <si>
    <t>log SRR chg 2007-Q4 to 2009-Q4</t>
  </si>
  <si>
    <t>Statutory Changes: Taxes, Discharges, and Total Safety Net (LF status weighted avg of program generosity)</t>
  </si>
  <si>
    <t>Fig3.2</t>
  </si>
  <si>
    <t>Fig3.3</t>
  </si>
  <si>
    <t>Fig3.6</t>
  </si>
  <si>
    <t>Tbl3.9</t>
  </si>
  <si>
    <t>empandhours.xlsx</t>
  </si>
  <si>
    <t>elas 1</t>
  </si>
  <si>
    <t>elas .75</t>
  </si>
  <si>
    <t>self-reliance rates from safety net statutes</t>
  </si>
  <si>
    <t>productivity-based distortions</t>
  </si>
  <si>
    <t>wage-based distortions</t>
  </si>
  <si>
    <t>from productivity</t>
  </si>
  <si>
    <t>from hourly compensation</t>
  </si>
  <si>
    <t>RR</t>
  </si>
  <si>
    <t>prodmeasureshist.xlsx</t>
  </si>
  <si>
    <t>Fig3.7</t>
  </si>
  <si>
    <t>Figure 3.6.  Statutory Safety Net Generosity</t>
  </si>
  <si>
    <t>UIER Eligibility Index</t>
  </si>
  <si>
    <t>fraction of unemployed with spells no greater than 26 weeks</t>
  </si>
  <si>
    <t>UIER weight = fr of UE with spells &lt;=26 weeks, times UI recipiency rate under FY2010 rules</t>
  </si>
  <si>
    <t>An unemployed person is "eligible" for UIER if he is receiving regular state benefits</t>
  </si>
  <si>
    <t>UI Experience Rating inclusion factor</t>
  </si>
  <si>
    <t>UI Experience Rating marginal tax rate</t>
  </si>
  <si>
    <t>Fraction of an employer's marginal UI tax liability affecting labor supply</t>
  </si>
  <si>
    <t>UIER Benefit Index</t>
  </si>
  <si>
    <t>UIER</t>
  </si>
  <si>
    <t>repl. rate at the median</t>
  </si>
  <si>
    <t>quarterly</t>
  </si>
  <si>
    <t>3.8</t>
  </si>
  <si>
    <t>Log Changes from 2007-Q4</t>
  </si>
  <si>
    <t>2008-Q4</t>
  </si>
  <si>
    <t>2009-Q4</t>
  </si>
  <si>
    <t>2010-Q4</t>
  </si>
  <si>
    <t>Benchmark</t>
  </si>
  <si>
    <t>Replacement rate level</t>
  </si>
  <si>
    <t>+ 5 pct points</t>
  </si>
  <si>
    <t>- 5 pct points</t>
  </si>
  <si>
    <r>
      <t>COBRA incidence among the unemployed</t>
    </r>
    <r>
      <rPr>
        <vertAlign val="superscript"/>
        <sz val="14"/>
        <color theme="1"/>
        <rFont val="Times New Roman"/>
        <family val="1"/>
        <scheme val="minor"/>
      </rPr>
      <t>a</t>
    </r>
  </si>
  <si>
    <t>Unemployment Insurance layoff tax</t>
  </si>
  <si>
    <t>subtract half of the tax from UI benefits</t>
  </si>
  <si>
    <t>subtract all of the tax from UI benefits</t>
  </si>
  <si>
    <t>Debt forgiveness components</t>
  </si>
  <si>
    <t>set both benefit indices to zero</t>
  </si>
  <si>
    <t>double mortgage modification</t>
  </si>
  <si>
    <t>log BBCE factor set to 0.3</t>
  </si>
  <si>
    <t>log BBCE factor set to 0.1</t>
  </si>
  <si>
    <r>
      <t>all rules frozen at FY2007</t>
    </r>
    <r>
      <rPr>
        <vertAlign val="superscript"/>
        <sz val="14"/>
        <color theme="1"/>
        <rFont val="Times New Roman"/>
        <family val="1"/>
        <scheme val="minor"/>
      </rPr>
      <t>b</t>
    </r>
  </si>
  <si>
    <t>Labor force weights</t>
  </si>
  <si>
    <t>move 10 pct points from UE to OLF</t>
  </si>
  <si>
    <t>move 10 pct points from UE to under-</t>
  </si>
  <si>
    <t>Additional UI taxation</t>
  </si>
  <si>
    <t>ignore PIT exclusion</t>
  </si>
  <si>
    <t>5% discount to UI extensions and FAC</t>
  </si>
  <si>
    <r>
      <t>Unemployment Insurance duration alone</t>
    </r>
    <r>
      <rPr>
        <vertAlign val="superscript"/>
        <sz val="14"/>
        <color theme="1"/>
        <rFont val="Times New Roman"/>
        <family val="1"/>
        <scheme val="minor"/>
      </rPr>
      <t>c</t>
    </r>
  </si>
  <si>
    <t>actual duration schedule</t>
  </si>
  <si>
    <t>duration limited to 52 weeks</t>
  </si>
  <si>
    <t>Notes</t>
  </si>
  <si>
    <r>
      <rPr>
        <vertAlign val="superscript"/>
        <sz val="12"/>
        <color theme="1"/>
        <rFont val="Times New Roman"/>
        <family val="2"/>
        <scheme val="minor"/>
      </rPr>
      <t>a</t>
    </r>
    <r>
      <rPr>
        <sz val="12"/>
        <color theme="1"/>
        <rFont val="Times New Roman"/>
        <family val="2"/>
        <scheme val="minor"/>
      </rPr>
      <t>Benchmark incidence is 0.2.</t>
    </r>
  </si>
  <si>
    <r>
      <rPr>
        <vertAlign val="superscript"/>
        <sz val="12"/>
        <color theme="1"/>
        <rFont val="Times New Roman"/>
        <family val="2"/>
        <scheme val="minor"/>
      </rPr>
      <t>b</t>
    </r>
    <r>
      <rPr>
        <sz val="12"/>
        <color theme="1"/>
        <rFont val="Times New Roman"/>
        <family val="2"/>
        <scheme val="minor"/>
      </rPr>
      <t>The SNAP eligibility and real benefit indices are held constant at their 2007-Q4 values.</t>
    </r>
  </si>
  <si>
    <r>
      <rPr>
        <vertAlign val="superscript"/>
        <sz val="12"/>
        <color theme="1"/>
        <rFont val="Times New Roman"/>
        <family val="2"/>
        <scheme val="minor"/>
      </rPr>
      <t>c</t>
    </r>
    <r>
      <rPr>
        <sz val="12"/>
        <color theme="1"/>
        <rFont val="Times New Roman"/>
        <family val="2"/>
        <scheme val="minor"/>
      </rPr>
      <t>All other eligibility indices and real benefit indices, including those for COBRA and federal additional compensation, are held constant at their 2007-Q4 values.</t>
    </r>
  </si>
  <si>
    <t>Tbl3.8</t>
  </si>
  <si>
    <t>Decomposition</t>
  </si>
  <si>
    <t>Fig11.2</t>
  </si>
  <si>
    <t>Figure 11.2.  Decomposition of 2007-Q4 to 2009-Q4 real safety net generosity changes, person characteristics held constant</t>
  </si>
  <si>
    <t>Decomposition of 2007-Q4 to 2009-Q4 real safety net generosity changes</t>
  </si>
  <si>
    <t>2007-Q4</t>
  </si>
  <si>
    <t>entire safety net</t>
  </si>
  <si>
    <t>means-tested mortgage modification</t>
  </si>
  <si>
    <t>chg</t>
  </si>
  <si>
    <t>UI &amp; related</t>
  </si>
  <si>
    <t>UI benefit</t>
  </si>
  <si>
    <t>UI eligibility</t>
  </si>
  <si>
    <t>UI elig-ben interaction</t>
  </si>
  <si>
    <t>UI elg: duration</t>
  </si>
  <si>
    <t>UI elg: modernization</t>
  </si>
  <si>
    <t>UI elg: modern-dur interaction</t>
  </si>
  <si>
    <t>UI ben: FAC</t>
  </si>
  <si>
    <t>UI ben: PIT Exclusion</t>
  </si>
  <si>
    <t>PIT exclusion</t>
  </si>
  <si>
    <t>UI ben: COBRA subsidy</t>
  </si>
  <si>
    <t>increase UI duration</t>
  </si>
  <si>
    <t>subsidize COBRA payments</t>
  </si>
  <si>
    <t>exempt part of UI benefits from federal inc. tax</t>
  </si>
  <si>
    <t>federal additional UI</t>
  </si>
  <si>
    <t>modernize UI eligibility criteria</t>
  </si>
  <si>
    <t>interactions among UI and related provisions</t>
  </si>
  <si>
    <t>SNAP (benefits and eligibility)</t>
  </si>
  <si>
    <t>TOTAL</t>
  </si>
  <si>
    <t>beginning of 2007</t>
  </si>
  <si>
    <t>end of 2007</t>
  </si>
  <si>
    <t>end of 2009</t>
  </si>
  <si>
    <t>end of 2010</t>
  </si>
  <si>
    <t>end of 2007 - end of 2009</t>
  </si>
  <si>
    <t>beginning of 2007 - end of 2010</t>
  </si>
  <si>
    <t>annual</t>
  </si>
  <si>
    <t>Annual</t>
  </si>
  <si>
    <t>data for Figure 3.7 &amp; Figure 11.1</t>
  </si>
  <si>
    <t>Ch6Output</t>
  </si>
  <si>
    <t>Statistics for Chapter 6 x-sectional analysis</t>
  </si>
  <si>
    <t>UI Elig index 2007 Q4 * program weight</t>
  </si>
  <si>
    <t>UI Elig index 2009 Q4 * program weight</t>
  </si>
  <si>
    <t>UI cap</t>
  </si>
  <si>
    <t>UI replacement rate</t>
  </si>
  <si>
    <t>median earnings, before fringes</t>
  </si>
  <si>
    <t>avg SNAP earnings, before fringes (FY 2010)</t>
  </si>
  <si>
    <t>avg SNAP deductions (FY 2010)</t>
  </si>
  <si>
    <t>SNAP Elig index 2007 Q4 * program weight</t>
  </si>
  <si>
    <t>SNAP Elig index 2009 Q4 * program weight</t>
  </si>
  <si>
    <t>medicaid weight*elg*benefit</t>
  </si>
  <si>
    <t>other means-test weight*elg*benefit</t>
  </si>
  <si>
    <t>tax rate (ratio to earnings before fringe)</t>
  </si>
  <si>
    <t>fringe benefit factor</t>
  </si>
  <si>
    <t>overall safety net weight*elg*benefit, 2007Q4</t>
  </si>
  <si>
    <t>overall safety net weight*elg*benefit, 2009Q4</t>
  </si>
  <si>
    <t>federal poverty guidelines, 2010 family of 3</t>
  </si>
  <si>
    <t>debt discharge replacement rate (sh of MPL), 2007Q4</t>
  </si>
  <si>
    <t>debt discharge replacement rate (sh of MPL), 2009Q4</t>
  </si>
  <si>
    <t>uicoef07</t>
  </si>
  <si>
    <t>uicoef09</t>
  </si>
  <si>
    <t>uibase</t>
  </si>
  <si>
    <t>uicap</t>
  </si>
  <si>
    <t>uirr</t>
  </si>
  <si>
    <t>mediany</t>
  </si>
  <si>
    <t>fsy</t>
  </si>
  <si>
    <t>fscoef07</t>
  </si>
  <si>
    <t>fscoef09</t>
  </si>
  <si>
    <t>medicaid</t>
  </si>
  <si>
    <t>othermt</t>
  </si>
  <si>
    <t>trate</t>
  </si>
  <si>
    <t>frfactor</t>
  </si>
  <si>
    <t>safetyb07</t>
  </si>
  <si>
    <t>safetyb09</t>
  </si>
  <si>
    <t>fgp</t>
  </si>
  <si>
    <t>debtr07</t>
  </si>
  <si>
    <t>debtr09</t>
  </si>
  <si>
    <t>uiaddr09</t>
  </si>
  <si>
    <t>UI base benefit, monthly</t>
  </si>
  <si>
    <t>fsd</t>
  </si>
  <si>
    <t>fsm07</t>
  </si>
  <si>
    <t>fsm09</t>
  </si>
  <si>
    <t>FY 2010 SNAP avg maximum benefit, FY 2010$</t>
  </si>
  <si>
    <t>FY 2007 SNAP avg maximum benefit, FY 2010$</t>
  </si>
  <si>
    <t>UE heads &amp; spouses, non-elderly, avg weekly</t>
  </si>
  <si>
    <t>non-elderly SNAP heads &amp; sp that are UE, FY 2010 rules</t>
  </si>
  <si>
    <t>SNAP non-elderly unemployed heads, FY 2010 rules</t>
  </si>
  <si>
    <t>eligible under FY 2010 rules (esp. no work requirements)</t>
  </si>
  <si>
    <t>eligible under FY 2010 rules, but passing pre-recession work requirements</t>
  </si>
  <si>
    <t>RR, 2010 $</t>
  </si>
  <si>
    <t>FY 2007 avg</t>
  </si>
  <si>
    <t>Statistics for Chapter 3 prose</t>
  </si>
  <si>
    <t>and is about $300 per month greater during fiscal year 2010 and much of fiscal year 2009</t>
  </si>
  <si>
    <t>Ch3TextBackup</t>
  </si>
  <si>
    <t>Statistics that appear in the prose of Chapter 3</t>
  </si>
  <si>
    <t>Mathematica Policy Research SNAP QC files</t>
  </si>
  <si>
    <t>Mulligan, Casey B.  "Do Welfare Policies Matter for Labor Market Aggregates?  Quantifying Safety Net Work Incentives since 2007."  NBER working paper, May 2012.</t>
  </si>
  <si>
    <t>Data Appendix Related to Statutory Safety Net Generosity Indices</t>
  </si>
  <si>
    <t>Overall safety net generosity index = sum over programs of the product of program weight, eligibility index, and benefit index</t>
  </si>
  <si>
    <t>The above NBER wp is an excerpt from a draft of Chapter 3 of Mulligan, Casey B.  "The Redistribution Recession: How Labor Market Distortions Contracted the Economy."  in production, Oxford University Press</t>
  </si>
  <si>
    <t>Note that this data appendix uses the exhibit numbering from the book.  E.g., Figure 1 in the NBER wp is Figure 3.1 in the book.</t>
  </si>
  <si>
    <t>relax asset and net income tests</t>
  </si>
</sst>
</file>

<file path=xl/styles.xml><?xml version="1.0" encoding="utf-8"?>
<styleSheet xmlns="http://schemas.openxmlformats.org/spreadsheetml/2006/main">
  <numFmts count="8">
    <numFmt numFmtId="164" formatCode="[$-409]mmm\-yy;@"/>
    <numFmt numFmtId="165" formatCode="0.000"/>
    <numFmt numFmtId="166" formatCode="0.00000"/>
    <numFmt numFmtId="167" formatCode="0.0"/>
    <numFmt numFmtId="168" formatCode="#,##0.000"/>
    <numFmt numFmtId="169" formatCode="[$-409]mmm\ yyyy;@"/>
    <numFmt numFmtId="170" formatCode="0.0%"/>
    <numFmt numFmtId="171" formatCode="0.0000"/>
  </numFmts>
  <fonts count="34">
    <font>
      <sz val="11"/>
      <color theme="1"/>
      <name val="Times New Roman"/>
      <family val="2"/>
      <scheme val="minor"/>
    </font>
    <font>
      <sz val="11"/>
      <color rgb="FF3F3F76"/>
      <name val="Times New Roman"/>
      <family val="2"/>
      <scheme val="minor"/>
    </font>
    <font>
      <sz val="11"/>
      <color rgb="FFFF0000"/>
      <name val="Times New Roman"/>
      <family val="2"/>
      <scheme val="minor"/>
    </font>
    <font>
      <b/>
      <sz val="11"/>
      <color theme="1"/>
      <name val="Times New Roman"/>
      <family val="2"/>
      <scheme val="minor"/>
    </font>
    <font>
      <u/>
      <sz val="11"/>
      <color theme="1"/>
      <name val="Times New Roman"/>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u/>
      <sz val="11"/>
      <color theme="10"/>
      <name val="Times New Roman"/>
      <family val="2"/>
    </font>
    <font>
      <sz val="10"/>
      <name val="Arial"/>
      <family val="2"/>
    </font>
    <font>
      <sz val="11"/>
      <color theme="1"/>
      <name val="Times New Roman"/>
      <family val="1"/>
      <scheme val="minor"/>
    </font>
    <font>
      <b/>
      <sz val="14"/>
      <color theme="1"/>
      <name val="Times New Roman"/>
      <family val="1"/>
      <scheme val="minor"/>
    </font>
    <font>
      <sz val="14"/>
      <color theme="1"/>
      <name val="Times New Roman"/>
      <family val="2"/>
      <scheme val="minor"/>
    </font>
    <font>
      <u/>
      <sz val="14"/>
      <color theme="1"/>
      <name val="Times New Roman"/>
      <family val="2"/>
      <scheme val="minor"/>
    </font>
    <font>
      <u/>
      <sz val="14"/>
      <color theme="1"/>
      <name val="Times New Roman"/>
      <family val="1"/>
      <scheme val="minor"/>
    </font>
    <font>
      <sz val="12"/>
      <color theme="1"/>
      <name val="Times New Roman"/>
      <family val="2"/>
      <scheme val="minor"/>
    </font>
    <font>
      <i/>
      <sz val="11"/>
      <color rgb="FF7F7F7F"/>
      <name val="Times New Roman"/>
      <family val="2"/>
      <scheme val="minor"/>
    </font>
    <font>
      <b/>
      <sz val="11"/>
      <color theme="1"/>
      <name val="Times New Roman"/>
      <family val="1"/>
      <scheme val="minor"/>
    </font>
    <font>
      <u/>
      <sz val="11"/>
      <color theme="1"/>
      <name val="Times New Roman"/>
      <family val="1"/>
      <scheme val="minor"/>
    </font>
    <font>
      <sz val="11"/>
      <name val="Times New Roman"/>
      <family val="2"/>
    </font>
    <font>
      <sz val="13"/>
      <color theme="1"/>
      <name val="Times New Roman"/>
      <family val="1"/>
      <scheme val="minor"/>
    </font>
    <font>
      <u/>
      <sz val="13"/>
      <color theme="1"/>
      <name val="Times New Roman"/>
      <family val="1"/>
      <scheme val="minor"/>
    </font>
    <font>
      <i/>
      <sz val="13"/>
      <color theme="1"/>
      <name val="Times New Roman"/>
      <family val="1"/>
      <scheme val="minor"/>
    </font>
    <font>
      <sz val="12"/>
      <name val="Times New Roman"/>
      <family val="1"/>
      <scheme val="minor"/>
    </font>
    <font>
      <sz val="12"/>
      <color theme="1"/>
      <name val="Times New Roman"/>
      <family val="1"/>
      <scheme val="minor"/>
    </font>
    <font>
      <sz val="13"/>
      <name val="Times New Roman"/>
      <family val="1"/>
      <scheme val="minor"/>
    </font>
    <font>
      <i/>
      <sz val="11"/>
      <color theme="1"/>
      <name val="Times New Roman"/>
      <family val="1"/>
      <scheme val="minor"/>
    </font>
    <font>
      <sz val="11"/>
      <name val="Times New Roman"/>
      <family val="2"/>
      <scheme val="minor"/>
    </font>
    <font>
      <vertAlign val="superscript"/>
      <sz val="14"/>
      <color theme="1"/>
      <name val="Times New Roman"/>
      <family val="1"/>
      <scheme val="minor"/>
    </font>
    <font>
      <u/>
      <sz val="12"/>
      <color theme="1"/>
      <name val="Times New Roman"/>
      <family val="2"/>
      <scheme val="minor"/>
    </font>
    <font>
      <vertAlign val="superscript"/>
      <sz val="12"/>
      <color theme="1"/>
      <name val="Times New Roman"/>
      <family val="2"/>
      <scheme val="minor"/>
    </font>
    <font>
      <sz val="11"/>
      <color theme="1"/>
      <name val="Times New Roman"/>
      <family val="2"/>
      <scheme val="minor"/>
    </font>
    <font>
      <i/>
      <sz val="14"/>
      <color theme="1"/>
      <name val="Times New Roman"/>
      <family val="1"/>
      <scheme val="minor"/>
    </font>
  </fonts>
  <fills count="3">
    <fill>
      <patternFill patternType="none"/>
    </fill>
    <fill>
      <patternFill patternType="gray125"/>
    </fill>
    <fill>
      <patternFill patternType="solid">
        <fgColor rgb="FFFFCC99"/>
      </patternFill>
    </fill>
  </fills>
  <borders count="3">
    <border>
      <left/>
      <right/>
      <top/>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s>
  <cellStyleXfs count="6">
    <xf numFmtId="0" fontId="0" fillId="0" borderId="0"/>
    <xf numFmtId="0" fontId="1" fillId="2" borderId="1" applyNumberFormat="0" applyAlignment="0" applyProtection="0"/>
    <xf numFmtId="0" fontId="9" fillId="0" borderId="0" applyNumberFormat="0" applyFill="0" applyBorder="0" applyAlignment="0" applyProtection="0">
      <alignment vertical="top"/>
      <protection locked="0"/>
    </xf>
    <xf numFmtId="0" fontId="10" fillId="0" borderId="0"/>
    <xf numFmtId="0" fontId="17" fillId="0" borderId="0" applyNumberFormat="0" applyFill="0" applyBorder="0" applyAlignment="0" applyProtection="0"/>
    <xf numFmtId="9" fontId="32" fillId="0" borderId="0" applyFont="0" applyFill="0" applyBorder="0" applyAlignment="0" applyProtection="0"/>
  </cellStyleXfs>
  <cellXfs count="96">
    <xf numFmtId="0" fontId="0" fillId="0" borderId="0" xfId="0"/>
    <xf numFmtId="0" fontId="3" fillId="0" borderId="0" xfId="0" applyFont="1"/>
    <xf numFmtId="0" fontId="0" fillId="0" borderId="0" xfId="0" applyAlignment="1">
      <alignment horizontal="right"/>
    </xf>
    <xf numFmtId="0" fontId="0" fillId="0" borderId="0" xfId="0" applyAlignment="1">
      <alignment horizontal="left"/>
    </xf>
    <xf numFmtId="164" fontId="0" fillId="0" borderId="0" xfId="0" applyNumberFormat="1"/>
    <xf numFmtId="0" fontId="4" fillId="0" borderId="0" xfId="0" applyFont="1"/>
    <xf numFmtId="0" fontId="4" fillId="0" borderId="0" xfId="0" applyFont="1" applyAlignment="1">
      <alignment horizontal="right"/>
    </xf>
    <xf numFmtId="3" fontId="0" fillId="0" borderId="0" xfId="0" applyNumberFormat="1"/>
    <xf numFmtId="165" fontId="0" fillId="0" borderId="0" xfId="0" applyNumberFormat="1"/>
    <xf numFmtId="165" fontId="4" fillId="0" borderId="0" xfId="0" applyNumberFormat="1" applyFont="1"/>
    <xf numFmtId="0" fontId="0" fillId="0" borderId="0" xfId="0" applyNumberFormat="1"/>
    <xf numFmtId="166" fontId="0" fillId="0" borderId="0" xfId="0" applyNumberFormat="1"/>
    <xf numFmtId="3" fontId="1" fillId="2" borderId="1" xfId="1" applyNumberFormat="1"/>
    <xf numFmtId="164" fontId="1" fillId="2" borderId="1" xfId="1" applyNumberFormat="1"/>
    <xf numFmtId="0" fontId="1" fillId="2" borderId="1" xfId="1" applyAlignment="1">
      <alignment horizontal="right"/>
    </xf>
    <xf numFmtId="0" fontId="1" fillId="2" borderId="1" xfId="1"/>
    <xf numFmtId="0" fontId="2" fillId="0" borderId="0" xfId="0" applyFont="1"/>
    <xf numFmtId="165" fontId="2" fillId="0" borderId="0" xfId="0" applyNumberFormat="1" applyFont="1"/>
    <xf numFmtId="2" fontId="0" fillId="0" borderId="0" xfId="0" applyNumberFormat="1"/>
    <xf numFmtId="167" fontId="0" fillId="0" borderId="0" xfId="0" applyNumberFormat="1"/>
    <xf numFmtId="2" fontId="1" fillId="2" borderId="1" xfId="1" applyNumberFormat="1"/>
    <xf numFmtId="14" fontId="0" fillId="0" borderId="0" xfId="0" applyNumberFormat="1"/>
    <xf numFmtId="14" fontId="9" fillId="0" borderId="0" xfId="2" applyNumberFormat="1" applyAlignment="1" applyProtection="1"/>
    <xf numFmtId="2" fontId="11" fillId="0" borderId="0" xfId="0" applyNumberFormat="1" applyFont="1"/>
    <xf numFmtId="2" fontId="2" fillId="0" borderId="0" xfId="0" applyNumberFormat="1" applyFont="1"/>
    <xf numFmtId="0" fontId="12" fillId="0" borderId="0" xfId="0" applyFont="1"/>
    <xf numFmtId="0" fontId="13" fillId="0" borderId="0" xfId="0" applyFont="1"/>
    <xf numFmtId="0" fontId="0" fillId="0" borderId="0" xfId="0" quotePrefix="1"/>
    <xf numFmtId="0" fontId="13" fillId="0" borderId="0" xfId="0" applyFont="1" applyAlignment="1">
      <alignment horizontal="center"/>
    </xf>
    <xf numFmtId="0" fontId="14" fillId="0" borderId="0" xfId="0" applyFont="1" applyAlignment="1">
      <alignment horizontal="right"/>
    </xf>
    <xf numFmtId="0" fontId="13" fillId="0" borderId="0" xfId="0" applyFont="1" applyAlignment="1">
      <alignment horizontal="right" wrapText="1"/>
    </xf>
    <xf numFmtId="2" fontId="13" fillId="0" borderId="0" xfId="0" applyNumberFormat="1" applyFont="1"/>
    <xf numFmtId="0" fontId="13" fillId="0" borderId="0" xfId="0" applyNumberFormat="1" applyFont="1"/>
    <xf numFmtId="0" fontId="18" fillId="0" borderId="0" xfId="0" applyFont="1"/>
    <xf numFmtId="0" fontId="11" fillId="0" borderId="0" xfId="0" applyFont="1"/>
    <xf numFmtId="0" fontId="19" fillId="0" borderId="0" xfId="0" applyFont="1" applyAlignment="1">
      <alignment horizontal="right" wrapText="1"/>
    </xf>
    <xf numFmtId="0" fontId="0" fillId="0" borderId="0" xfId="0" applyAlignment="1">
      <alignment horizontal="right" wrapText="1"/>
    </xf>
    <xf numFmtId="0" fontId="9" fillId="0" borderId="0" xfId="2" applyAlignment="1" applyProtection="1"/>
    <xf numFmtId="0" fontId="17" fillId="0" borderId="0" xfId="4"/>
    <xf numFmtId="0" fontId="4" fillId="0" borderId="0" xfId="0" applyFont="1" applyAlignment="1">
      <alignment horizontal="left"/>
    </xf>
    <xf numFmtId="0" fontId="0" fillId="0" borderId="0" xfId="0" applyFont="1"/>
    <xf numFmtId="2" fontId="0" fillId="0" borderId="0" xfId="0" applyNumberFormat="1" applyFont="1"/>
    <xf numFmtId="4" fontId="1" fillId="2" borderId="1" xfId="1" applyNumberFormat="1"/>
    <xf numFmtId="168" fontId="1" fillId="2" borderId="1" xfId="1" applyNumberFormat="1"/>
    <xf numFmtId="0" fontId="1" fillId="2" borderId="1" xfId="1" applyAlignment="1">
      <alignment horizontal="left"/>
    </xf>
    <xf numFmtId="0" fontId="21" fillId="0" borderId="0" xfId="0" applyFont="1"/>
    <xf numFmtId="0" fontId="21" fillId="0" borderId="0" xfId="0" quotePrefix="1" applyFont="1"/>
    <xf numFmtId="169" fontId="24" fillId="0" borderId="0" xfId="0" applyNumberFormat="1" applyFont="1"/>
    <xf numFmtId="164" fontId="24" fillId="0" borderId="0" xfId="0" quotePrefix="1" applyNumberFormat="1" applyFont="1" applyAlignment="1">
      <alignment horizontal="center"/>
    </xf>
    <xf numFmtId="0" fontId="25" fillId="0" borderId="0" xfId="0" applyFont="1"/>
    <xf numFmtId="169" fontId="24" fillId="0" borderId="0" xfId="0" applyNumberFormat="1" applyFont="1" applyAlignment="1">
      <alignment horizontal="left"/>
    </xf>
    <xf numFmtId="164" fontId="26" fillId="0" borderId="0" xfId="0" applyNumberFormat="1" applyFont="1"/>
    <xf numFmtId="164" fontId="26" fillId="0" borderId="0" xfId="0" quotePrefix="1" applyNumberFormat="1" applyFont="1"/>
    <xf numFmtId="3" fontId="0" fillId="0" borderId="0" xfId="0" applyNumberFormat="1" applyFont="1"/>
    <xf numFmtId="170" fontId="1" fillId="2" borderId="1" xfId="1" applyNumberFormat="1"/>
    <xf numFmtId="4" fontId="0" fillId="0" borderId="0" xfId="0" applyNumberFormat="1"/>
    <xf numFmtId="167" fontId="1" fillId="2" borderId="1" xfId="1" applyNumberFormat="1"/>
    <xf numFmtId="0" fontId="0" fillId="0" borderId="0" xfId="0" applyAlignment="1"/>
    <xf numFmtId="3" fontId="27" fillId="0" borderId="0" xfId="0" applyNumberFormat="1" applyFont="1"/>
    <xf numFmtId="0" fontId="0" fillId="0" borderId="0" xfId="0" applyFont="1" applyAlignment="1">
      <alignment horizontal="right"/>
    </xf>
    <xf numFmtId="0" fontId="1" fillId="2" borderId="1" xfId="1" applyNumberFormat="1"/>
    <xf numFmtId="1" fontId="0" fillId="0" borderId="0" xfId="0" applyNumberFormat="1"/>
    <xf numFmtId="165" fontId="1" fillId="2" borderId="1" xfId="1" applyNumberFormat="1"/>
    <xf numFmtId="0" fontId="0" fillId="0" borderId="0" xfId="0" applyAlignment="1">
      <alignment horizontal="center"/>
    </xf>
    <xf numFmtId="165" fontId="0" fillId="0" borderId="0" xfId="0" applyNumberFormat="1" applyAlignment="1">
      <alignment horizontal="right"/>
    </xf>
    <xf numFmtId="3" fontId="2" fillId="0" borderId="0" xfId="0" applyNumberFormat="1" applyFont="1"/>
    <xf numFmtId="0" fontId="19" fillId="0" borderId="0" xfId="0" applyFont="1" applyAlignment="1">
      <alignment horizontal="right"/>
    </xf>
    <xf numFmtId="0" fontId="19" fillId="0" borderId="0" xfId="0" applyFont="1" applyAlignment="1">
      <alignment horizontal="center"/>
    </xf>
    <xf numFmtId="0" fontId="19" fillId="0" borderId="0" xfId="0" applyFont="1"/>
    <xf numFmtId="0" fontId="0" fillId="0" borderId="0" xfId="0" quotePrefix="1" applyAlignment="1">
      <alignment horizontal="right"/>
    </xf>
    <xf numFmtId="0" fontId="28" fillId="0" borderId="0" xfId="0" applyFont="1"/>
    <xf numFmtId="0" fontId="13" fillId="0" borderId="0" xfId="0" quotePrefix="1" applyFont="1"/>
    <xf numFmtId="0" fontId="30" fillId="0" borderId="0" xfId="0" applyFont="1"/>
    <xf numFmtId="0" fontId="16" fillId="0" borderId="0" xfId="0" applyFont="1"/>
    <xf numFmtId="2" fontId="16" fillId="0" borderId="0" xfId="0" applyNumberFormat="1" applyFont="1"/>
    <xf numFmtId="0" fontId="11" fillId="0" borderId="0" xfId="0" applyFont="1" applyAlignment="1">
      <alignment horizontal="left" wrapText="1"/>
    </xf>
    <xf numFmtId="0" fontId="0" fillId="0" borderId="2" xfId="0" applyBorder="1"/>
    <xf numFmtId="3" fontId="4" fillId="0" borderId="0" xfId="0" applyNumberFormat="1" applyFont="1"/>
    <xf numFmtId="2" fontId="4" fillId="0" borderId="0" xfId="0" applyNumberFormat="1" applyFont="1"/>
    <xf numFmtId="0" fontId="0" fillId="0" borderId="0" xfId="0" applyNumberFormat="1" applyAlignment="1">
      <alignment horizontal="right"/>
    </xf>
    <xf numFmtId="9" fontId="0" fillId="0" borderId="0" xfId="5" applyFont="1"/>
    <xf numFmtId="171" fontId="0" fillId="0" borderId="0" xfId="0" applyNumberFormat="1"/>
    <xf numFmtId="2" fontId="33" fillId="0" borderId="0" xfId="0" applyNumberFormat="1" applyFont="1"/>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3" fillId="0" borderId="0" xfId="0" quotePrefix="1" applyFont="1" applyAlignment="1">
      <alignment horizontal="center"/>
    </xf>
    <xf numFmtId="0" fontId="23" fillId="0" borderId="0" xfId="0" quotePrefix="1" applyFont="1" applyAlignment="1">
      <alignment horizontal="center" wrapText="1"/>
    </xf>
    <xf numFmtId="0" fontId="21" fillId="0" borderId="0" xfId="0" applyFont="1" applyAlignment="1">
      <alignment horizontal="center" wrapText="1"/>
    </xf>
    <xf numFmtId="0" fontId="23" fillId="0" borderId="0" xfId="0" applyFont="1" applyAlignment="1">
      <alignment horizontal="center" wrapText="1"/>
    </xf>
    <xf numFmtId="0" fontId="25" fillId="0" borderId="0" xfId="0" applyFont="1" applyAlignment="1">
      <alignment horizontal="center"/>
    </xf>
    <xf numFmtId="0" fontId="0" fillId="0" borderId="0" xfId="0" applyAlignment="1">
      <alignment horizontal="center"/>
    </xf>
    <xf numFmtId="0" fontId="13" fillId="0" borderId="0" xfId="0" applyFont="1" applyAlignment="1">
      <alignment horizontal="center"/>
    </xf>
    <xf numFmtId="0" fontId="16" fillId="0" borderId="0" xfId="0" applyFont="1" applyAlignment="1">
      <alignment horizontal="left" wrapText="1"/>
    </xf>
    <xf numFmtId="0" fontId="0" fillId="0" borderId="0" xfId="0" applyAlignment="1"/>
    <xf numFmtId="0" fontId="27" fillId="0" borderId="0" xfId="0" applyFont="1" applyAlignment="1">
      <alignment horizontal="center"/>
    </xf>
  </cellXfs>
  <cellStyles count="6">
    <cellStyle name="Explanatory Text" xfId="4" builtinId="53"/>
    <cellStyle name="Hyperlink" xfId="2" builtinId="8"/>
    <cellStyle name="Input" xfId="1" builtinId="20"/>
    <cellStyle name="Normal" xfId="0" builtinId="0"/>
    <cellStyle name="Normal 2" xfId="3"/>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hartsheet" Target="chartsheets/sheet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3.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2.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hartsheet" Target="chartsheets/sheet1.xml"/><Relationship Id="rId28" Type="http://schemas.openxmlformats.org/officeDocument/2006/relationships/chartsheet" Target="chartsheets/sheet6.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hartsheet" Target="chartsheets/sheet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hartsheet" Target="chartsheets/sheet5.xml"/><Relationship Id="rId30" Type="http://schemas.openxmlformats.org/officeDocument/2006/relationships/worksheet" Target="worksheets/sheet24.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lang val="en-US"/>
  <c:clrMapOvr bg1="lt1" tx1="dk1" bg2="lt2" tx2="dk2" accent1="accent1" accent2="accent2" accent3="accent3" accent4="accent4" accent5="accent5" accent6="accent6" hlink="hlink" folHlink="folHlink"/>
  <c:chart>
    <c:title>
      <c:tx>
        <c:strRef>
          <c:f>vshours!$A$1</c:f>
          <c:strCache>
            <c:ptCount val="1"/>
            <c:pt idx="0">
              <c:v>Figure 1.1.  Government Safety Net Benefit Rules Compared with Hours Not At Work</c:v>
            </c:pt>
          </c:strCache>
        </c:strRef>
      </c:tx>
      <c:overlay val="1"/>
    </c:title>
    <c:plotArea>
      <c:layout>
        <c:manualLayout>
          <c:layoutTarget val="inner"/>
          <c:xMode val="edge"/>
          <c:yMode val="edge"/>
          <c:x val="0.10151791875795055"/>
          <c:y val="9.2244770890996447E-2"/>
          <c:w val="0.81558975360957731"/>
          <c:h val="0.8323866093597363"/>
        </c:manualLayout>
      </c:layout>
      <c:lineChart>
        <c:grouping val="standard"/>
        <c:ser>
          <c:idx val="3"/>
          <c:order val="0"/>
          <c:tx>
            <c:strRef>
              <c:f>vshours!$B$5</c:f>
              <c:strCache>
                <c:ptCount val="1"/>
                <c:pt idx="0">
                  <c:v>Generosity of Program Rules for the Unemployed</c:v>
                </c:pt>
              </c:strCache>
            </c:strRef>
          </c:tx>
          <c:spPr>
            <a:ln w="38100">
              <a:solidFill>
                <a:srgbClr val="FF0000"/>
              </a:solidFill>
            </a:ln>
          </c:spPr>
          <c:marker>
            <c:symbol val="none"/>
          </c:marker>
          <c:cat>
            <c:numRef>
              <c:f>vshours!$A$18:$A$77</c:f>
              <c:numCache>
                <c:formatCode>[$-409]mmm\-yy;@</c:formatCode>
                <c:ptCount val="60"/>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numCache>
            </c:numRef>
          </c:cat>
          <c:val>
            <c:numRef>
              <c:f>vshours!$B$18:$B$77</c:f>
              <c:numCache>
                <c:formatCode>#,##0</c:formatCode>
                <c:ptCount val="60"/>
                <c:pt idx="0">
                  <c:v>10233.839493797821</c:v>
                </c:pt>
                <c:pt idx="1">
                  <c:v>10229.589782235787</c:v>
                </c:pt>
                <c:pt idx="2">
                  <c:v>10225.011890278614</c:v>
                </c:pt>
                <c:pt idx="3">
                  <c:v>10222.373659135877</c:v>
                </c:pt>
                <c:pt idx="4">
                  <c:v>10218.981614134116</c:v>
                </c:pt>
                <c:pt idx="5">
                  <c:v>10227.827561306438</c:v>
                </c:pt>
                <c:pt idx="6">
                  <c:v>10225.822979086613</c:v>
                </c:pt>
                <c:pt idx="7">
                  <c:v>10224.978651230915</c:v>
                </c:pt>
                <c:pt idx="8">
                  <c:v>10220.433585467104</c:v>
                </c:pt>
                <c:pt idx="9">
                  <c:v>10284.973713078161</c:v>
                </c:pt>
                <c:pt idx="10">
                  <c:v>10278.275432196006</c:v>
                </c:pt>
                <c:pt idx="11">
                  <c:v>10274.480427306913</c:v>
                </c:pt>
                <c:pt idx="12">
                  <c:v>10304.477372574569</c:v>
                </c:pt>
                <c:pt idx="13">
                  <c:v>10301.678275197719</c:v>
                </c:pt>
                <c:pt idx="14">
                  <c:v>10314.031185368181</c:v>
                </c:pt>
                <c:pt idx="15">
                  <c:v>10310.020465395508</c:v>
                </c:pt>
                <c:pt idx="16">
                  <c:v>10304.850240357289</c:v>
                </c:pt>
                <c:pt idx="17">
                  <c:v>10297.162766318846</c:v>
                </c:pt>
                <c:pt idx="18">
                  <c:v>11891.492286368599</c:v>
                </c:pt>
                <c:pt idx="19">
                  <c:v>11892.526531539219</c:v>
                </c:pt>
                <c:pt idx="20">
                  <c:v>11891.043152815808</c:v>
                </c:pt>
                <c:pt idx="21">
                  <c:v>12099.953135666861</c:v>
                </c:pt>
                <c:pt idx="22">
                  <c:v>12117.503444030956</c:v>
                </c:pt>
                <c:pt idx="23">
                  <c:v>12777.957007414927</c:v>
                </c:pt>
                <c:pt idx="24">
                  <c:v>12776.915848085077</c:v>
                </c:pt>
                <c:pt idx="25">
                  <c:v>12772.585438784758</c:v>
                </c:pt>
                <c:pt idx="26">
                  <c:v>12775.860527479379</c:v>
                </c:pt>
                <c:pt idx="27">
                  <c:v>15699.28052645264</c:v>
                </c:pt>
                <c:pt idx="28">
                  <c:v>15700.123254751088</c:v>
                </c:pt>
                <c:pt idx="29">
                  <c:v>15703.151608009624</c:v>
                </c:pt>
                <c:pt idx="30">
                  <c:v>15794.483460367119</c:v>
                </c:pt>
                <c:pt idx="31">
                  <c:v>15817.80097111897</c:v>
                </c:pt>
                <c:pt idx="32">
                  <c:v>15814.619616661817</c:v>
                </c:pt>
                <c:pt idx="33">
                  <c:v>15808.771361198367</c:v>
                </c:pt>
                <c:pt idx="34">
                  <c:v>15805.20747603668</c:v>
                </c:pt>
                <c:pt idx="35">
                  <c:v>16082.133812518052</c:v>
                </c:pt>
                <c:pt idx="36">
                  <c:v>15649.040777559105</c:v>
                </c:pt>
                <c:pt idx="37">
                  <c:v>15658.233368898751</c:v>
                </c:pt>
                <c:pt idx="38">
                  <c:v>15684.097531324656</c:v>
                </c:pt>
                <c:pt idx="39">
                  <c:v>15709.050075300653</c:v>
                </c:pt>
                <c:pt idx="40">
                  <c:v>15709.999091072168</c:v>
                </c:pt>
                <c:pt idx="41">
                  <c:v>15196.610449760085</c:v>
                </c:pt>
                <c:pt idx="42">
                  <c:v>14837.386302269919</c:v>
                </c:pt>
                <c:pt idx="43">
                  <c:v>14834.215088932722</c:v>
                </c:pt>
                <c:pt idx="44">
                  <c:v>14831.953661695905</c:v>
                </c:pt>
                <c:pt idx="45">
                  <c:v>14827.709906426582</c:v>
                </c:pt>
                <c:pt idx="46">
                  <c:v>14826.182430608016</c:v>
                </c:pt>
                <c:pt idx="47">
                  <c:v>14278.275849616657</c:v>
                </c:pt>
                <c:pt idx="48">
                  <c:v>13871.713533828228</c:v>
                </c:pt>
                <c:pt idx="49">
                  <c:v>13863.942445031709</c:v>
                </c:pt>
                <c:pt idx="50">
                  <c:v>13856.250009548792</c:v>
                </c:pt>
                <c:pt idx="51">
                  <c:v>13849.656042469847</c:v>
                </c:pt>
                <c:pt idx="52">
                  <c:v>13846.25707550818</c:v>
                </c:pt>
                <c:pt idx="53">
                  <c:v>13848.686117873491</c:v>
                </c:pt>
                <c:pt idx="54">
                  <c:v>13841.619843192932</c:v>
                </c:pt>
                <c:pt idx="55">
                  <c:v>13836.40013076055</c:v>
                </c:pt>
                <c:pt idx="56">
                  <c:v>13833.214915799668</c:v>
                </c:pt>
                <c:pt idx="57">
                  <c:v>13843.968591872108</c:v>
                </c:pt>
                <c:pt idx="58">
                  <c:v>13842.270356416837</c:v>
                </c:pt>
                <c:pt idx="59">
                  <c:v>13840.960893829135</c:v>
                </c:pt>
              </c:numCache>
            </c:numRef>
          </c:val>
        </c:ser>
        <c:dLbls/>
        <c:marker val="1"/>
        <c:axId val="105860480"/>
        <c:axId val="105882752"/>
      </c:lineChart>
      <c:lineChart>
        <c:grouping val="standard"/>
        <c:ser>
          <c:idx val="1"/>
          <c:order val="1"/>
          <c:tx>
            <c:strRef>
              <c:f>vshours!$F$5</c:f>
              <c:strCache>
                <c:ptCount val="1"/>
                <c:pt idx="0">
                  <c:v>Average Hours NOT At Work (right scale)</c:v>
                </c:pt>
              </c:strCache>
            </c:strRef>
          </c:tx>
          <c:spPr>
            <a:ln w="38100">
              <a:solidFill>
                <a:sysClr val="windowText" lastClr="000000"/>
              </a:solidFill>
            </a:ln>
          </c:spPr>
          <c:marker>
            <c:symbol val="none"/>
          </c:marker>
          <c:cat>
            <c:numRef>
              <c:f>vshours!$A$18:$A$77</c:f>
              <c:numCache>
                <c:formatCode>[$-409]mmm\-yy;@</c:formatCode>
                <c:ptCount val="60"/>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numCache>
            </c:numRef>
          </c:cat>
          <c:val>
            <c:numRef>
              <c:f>vshours!$F$18:$F$77</c:f>
              <c:numCache>
                <c:formatCode>0.0</c:formatCode>
                <c:ptCount val="60"/>
                <c:pt idx="0">
                  <c:v>7508.1668968769682</c:v>
                </c:pt>
                <c:pt idx="1">
                  <c:v>7507.5659835613178</c:v>
                </c:pt>
                <c:pt idx="2">
                  <c:v>7503.6442827197379</c:v>
                </c:pt>
                <c:pt idx="3">
                  <c:v>7503.1664949643518</c:v>
                </c:pt>
                <c:pt idx="4">
                  <c:v>7502.9352902882038</c:v>
                </c:pt>
                <c:pt idx="5">
                  <c:v>7503.9373173278245</c:v>
                </c:pt>
                <c:pt idx="6">
                  <c:v>7505.3219291169653</c:v>
                </c:pt>
                <c:pt idx="7">
                  <c:v>7505.8213798339366</c:v>
                </c:pt>
                <c:pt idx="8">
                  <c:v>7506.4811578956051</c:v>
                </c:pt>
                <c:pt idx="9">
                  <c:v>7511.1477749878004</c:v>
                </c:pt>
                <c:pt idx="10">
                  <c:v>7507.0286890788575</c:v>
                </c:pt>
                <c:pt idx="11">
                  <c:v>7507.6602433484341</c:v>
                </c:pt>
                <c:pt idx="12">
                  <c:v>7507.3888163385209</c:v>
                </c:pt>
                <c:pt idx="13">
                  <c:v>7508.7824634549679</c:v>
                </c:pt>
                <c:pt idx="14">
                  <c:v>7510.522594707948</c:v>
                </c:pt>
                <c:pt idx="15">
                  <c:v>7513.4187489614214</c:v>
                </c:pt>
                <c:pt idx="16">
                  <c:v>7516.1886151477047</c:v>
                </c:pt>
                <c:pt idx="17">
                  <c:v>7518.8982555005296</c:v>
                </c:pt>
                <c:pt idx="18">
                  <c:v>7525.126140400962</c:v>
                </c:pt>
                <c:pt idx="19">
                  <c:v>7529.1252315777801</c:v>
                </c:pt>
                <c:pt idx="20">
                  <c:v>7536.7865280141714</c:v>
                </c:pt>
                <c:pt idx="21">
                  <c:v>7541.876257167005</c:v>
                </c:pt>
                <c:pt idx="22">
                  <c:v>7557.2685448206057</c:v>
                </c:pt>
                <c:pt idx="23">
                  <c:v>7566.7196251067608</c:v>
                </c:pt>
                <c:pt idx="24">
                  <c:v>7571.9677686251061</c:v>
                </c:pt>
                <c:pt idx="25">
                  <c:v>7586.1287580891894</c:v>
                </c:pt>
                <c:pt idx="26">
                  <c:v>7600.2853087054264</c:v>
                </c:pt>
                <c:pt idx="27">
                  <c:v>7607.2563019599347</c:v>
                </c:pt>
                <c:pt idx="28">
                  <c:v>7610.3718598421874</c:v>
                </c:pt>
                <c:pt idx="29">
                  <c:v>7615.8221540042432</c:v>
                </c:pt>
                <c:pt idx="30">
                  <c:v>7618.9549203453562</c:v>
                </c:pt>
                <c:pt idx="31">
                  <c:v>7622.0132260376413</c:v>
                </c:pt>
                <c:pt idx="32">
                  <c:v>7625.1841626415307</c:v>
                </c:pt>
                <c:pt idx="33">
                  <c:v>7627.8392434631314</c:v>
                </c:pt>
                <c:pt idx="34">
                  <c:v>7624.8801612187362</c:v>
                </c:pt>
                <c:pt idx="35">
                  <c:v>7627.0642401890382</c:v>
                </c:pt>
                <c:pt idx="36">
                  <c:v>7625.3089705198317</c:v>
                </c:pt>
                <c:pt idx="37">
                  <c:v>7629.7000023218197</c:v>
                </c:pt>
                <c:pt idx="38">
                  <c:v>7625.3288841492613</c:v>
                </c:pt>
                <c:pt idx="39">
                  <c:v>7621.0518444523022</c:v>
                </c:pt>
                <c:pt idx="40">
                  <c:v>7613.2743160986938</c:v>
                </c:pt>
                <c:pt idx="41">
                  <c:v>7618.8217872962678</c:v>
                </c:pt>
                <c:pt idx="42">
                  <c:v>7617.3818129123902</c:v>
                </c:pt>
                <c:pt idx="43">
                  <c:v>7618.7062323191985</c:v>
                </c:pt>
                <c:pt idx="44">
                  <c:v>7619.6837871545267</c:v>
                </c:pt>
                <c:pt idx="45">
                  <c:v>7614.5137498699205</c:v>
                </c:pt>
                <c:pt idx="46">
                  <c:v>7617.94920875752</c:v>
                </c:pt>
                <c:pt idx="47">
                  <c:v>7614.1745697031001</c:v>
                </c:pt>
                <c:pt idx="48">
                  <c:v>7613.8654337200614</c:v>
                </c:pt>
                <c:pt idx="49">
                  <c:v>7612.8098996357494</c:v>
                </c:pt>
                <c:pt idx="50">
                  <c:v>7610.3982185526656</c:v>
                </c:pt>
                <c:pt idx="51">
                  <c:v>7605.6020349442424</c:v>
                </c:pt>
                <c:pt idx="52">
                  <c:v>7606.9230487118493</c:v>
                </c:pt>
                <c:pt idx="53">
                  <c:v>7606.7612620240243</c:v>
                </c:pt>
                <c:pt idx="54">
                  <c:v>7606.1029230731201</c:v>
                </c:pt>
                <c:pt idx="55">
                  <c:v>7609.0751901294161</c:v>
                </c:pt>
                <c:pt idx="56">
                  <c:v>7605.5465787611902</c:v>
                </c:pt>
                <c:pt idx="57">
                  <c:v>7605.5634447347547</c:v>
                </c:pt>
                <c:pt idx="58">
                  <c:v>7604.3295621795532</c:v>
                </c:pt>
                <c:pt idx="59">
                  <c:v>7599.5011135067907</c:v>
                </c:pt>
              </c:numCache>
            </c:numRef>
          </c:val>
        </c:ser>
        <c:dLbls/>
        <c:marker val="1"/>
        <c:axId val="105890944"/>
        <c:axId val="105884672"/>
      </c:lineChart>
      <c:dateAx>
        <c:axId val="105860480"/>
        <c:scaling>
          <c:orientation val="minMax"/>
          <c:max val="40878"/>
        </c:scaling>
        <c:axPos val="b"/>
        <c:numFmt formatCode="yyyy" sourceLinked="0"/>
        <c:tickLblPos val="nextTo"/>
        <c:txPr>
          <a:bodyPr/>
          <a:lstStyle/>
          <a:p>
            <a:pPr>
              <a:defRPr sz="1200"/>
            </a:pPr>
            <a:endParaRPr lang="en-US"/>
          </a:p>
        </c:txPr>
        <c:crossAx val="105882752"/>
        <c:crosses val="autoZero"/>
        <c:auto val="1"/>
        <c:lblOffset val="100"/>
        <c:baseTimeUnit val="months"/>
        <c:majorUnit val="1"/>
        <c:majorTimeUnit val="years"/>
      </c:dateAx>
      <c:valAx>
        <c:axId val="105882752"/>
        <c:scaling>
          <c:orientation val="minMax"/>
          <c:max val="16500"/>
          <c:min val="10000"/>
        </c:scaling>
        <c:axPos val="l"/>
        <c:title>
          <c:tx>
            <c:rich>
              <a:bodyPr rot="-5400000" vert="horz"/>
              <a:lstStyle/>
              <a:p>
                <a:pPr>
                  <a:defRPr sz="1400"/>
                </a:pPr>
                <a:r>
                  <a:rPr lang="en-US"/>
                  <a:t>Inflation-adjusted $</a:t>
                </a:r>
                <a:r>
                  <a:rPr lang="en-US" baseline="0"/>
                  <a:t> per year uneployed</a:t>
                </a:r>
              </a:p>
            </c:rich>
          </c:tx>
          <c:layout>
            <c:manualLayout>
              <c:xMode val="edge"/>
              <c:yMode val="edge"/>
              <c:x val="8.7993282024704609E-3"/>
              <c:y val="0.26540399350781696"/>
            </c:manualLayout>
          </c:layout>
        </c:title>
        <c:numFmt formatCode="#,##0" sourceLinked="0"/>
        <c:tickLblPos val="nextTo"/>
        <c:txPr>
          <a:bodyPr/>
          <a:lstStyle/>
          <a:p>
            <a:pPr>
              <a:defRPr sz="1200"/>
            </a:pPr>
            <a:endParaRPr lang="en-US"/>
          </a:p>
        </c:txPr>
        <c:crossAx val="105860480"/>
        <c:crosses val="autoZero"/>
        <c:crossBetween val="between"/>
      </c:valAx>
      <c:valAx>
        <c:axId val="105884672"/>
        <c:scaling>
          <c:orientation val="minMax"/>
          <c:max val="7640"/>
          <c:min val="7500"/>
        </c:scaling>
        <c:axPos val="r"/>
        <c:title>
          <c:tx>
            <c:strRef>
              <c:f>vshours!$F$4</c:f>
              <c:strCache>
                <c:ptCount val="1"/>
                <c:pt idx="0">
                  <c:v>hours per adult, seas. adj. annual rate</c:v>
                </c:pt>
              </c:strCache>
            </c:strRef>
          </c:tx>
          <c:txPr>
            <a:bodyPr rot="-5400000" vert="horz"/>
            <a:lstStyle/>
            <a:p>
              <a:pPr algn="ctr" rtl="0">
                <a:defRPr lang="en-US" sz="1400" b="1" i="0" u="none" strike="noStrike" kern="1200" baseline="0">
                  <a:solidFill>
                    <a:sysClr val="windowText" lastClr="000000"/>
                  </a:solidFill>
                  <a:latin typeface="+mn-lt"/>
                  <a:ea typeface="+mn-ea"/>
                  <a:cs typeface="+mn-cs"/>
                </a:defRPr>
              </a:pPr>
              <a:endParaRPr lang="en-US"/>
            </a:p>
          </c:txPr>
        </c:title>
        <c:numFmt formatCode="#,##0" sourceLinked="0"/>
        <c:tickLblPos val="nextTo"/>
        <c:txPr>
          <a:bodyPr/>
          <a:lstStyle/>
          <a:p>
            <a:pPr algn="ctr">
              <a:defRPr lang="en-US" sz="1200" b="0" i="0" u="none" strike="noStrike" kern="1200" baseline="0">
                <a:solidFill>
                  <a:sysClr val="windowText" lastClr="000000"/>
                </a:solidFill>
                <a:latin typeface="+mn-lt"/>
                <a:ea typeface="+mn-ea"/>
                <a:cs typeface="+mn-cs"/>
              </a:defRPr>
            </a:pPr>
            <a:endParaRPr lang="en-US"/>
          </a:p>
        </c:txPr>
        <c:crossAx val="105890944"/>
        <c:crosses val="max"/>
        <c:crossBetween val="between"/>
        <c:majorUnit val="25"/>
      </c:valAx>
      <c:dateAx>
        <c:axId val="105890944"/>
        <c:scaling>
          <c:orientation val="minMax"/>
        </c:scaling>
        <c:delete val="1"/>
        <c:axPos val="b"/>
        <c:numFmt formatCode="[$-409]mmm\-yy;@" sourceLinked="1"/>
        <c:tickLblPos val="none"/>
        <c:crossAx val="105884672"/>
        <c:crosses val="autoZero"/>
        <c:auto val="1"/>
        <c:lblOffset val="100"/>
        <c:baseTimeUnit val="months"/>
      </c:dateAx>
    </c:plotArea>
    <c:legend>
      <c:legendPos val="r"/>
      <c:layout>
        <c:manualLayout>
          <c:xMode val="edge"/>
          <c:yMode val="edge"/>
          <c:x val="0.38433975938341175"/>
          <c:y val="0.77732848624226669"/>
          <c:w val="0.53912779488373341"/>
          <c:h val="0.11671241554054054"/>
        </c:manualLayout>
      </c:layout>
      <c:txPr>
        <a:bodyPr/>
        <a:lstStyle/>
        <a:p>
          <a:pPr>
            <a:defRPr sz="1400"/>
          </a:pPr>
          <a:endParaRPr lang="en-US"/>
        </a:p>
      </c:txPr>
    </c:legend>
    <c:plotVisOnly val="1"/>
    <c:dispBlanksAs val="gap"/>
  </c:chart>
  <c:spPr>
    <a:ln>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clrMapOvr bg1="lt1" tx1="dk1" bg2="lt2" tx2="dk2" accent1="accent1" accent2="accent2" accent3="accent3" accent4="accent4" accent5="accent5" accent6="accent6" hlink="hlink" folHlink="folHlink"/>
  <c:chart>
    <c:title>
      <c:tx>
        <c:strRef>
          <c:f>OtherElgBen!$K$3</c:f>
          <c:strCache>
            <c:ptCount val="1"/>
            <c:pt idx="0">
              <c:v>Figure 3.2.  Statutory Changes in Safety Net Eligibility</c:v>
            </c:pt>
          </c:strCache>
        </c:strRef>
      </c:tx>
      <c:overlay val="1"/>
      <c:txPr>
        <a:bodyPr/>
        <a:lstStyle/>
        <a:p>
          <a:pPr>
            <a:defRPr/>
          </a:pPr>
          <a:endParaRPr lang="en-US"/>
        </a:p>
      </c:txPr>
    </c:title>
    <c:plotArea>
      <c:layout>
        <c:manualLayout>
          <c:layoutTarget val="inner"/>
          <c:xMode val="edge"/>
          <c:yMode val="edge"/>
          <c:x val="9.4185166002213244E-2"/>
          <c:y val="7.6090627289563922E-2"/>
          <c:w val="0.84492079921790919"/>
          <c:h val="0.84854075296116904"/>
        </c:manualLayout>
      </c:layout>
      <c:lineChart>
        <c:grouping val="standard"/>
        <c:ser>
          <c:idx val="2"/>
          <c:order val="0"/>
          <c:tx>
            <c:v>Medicaid</c:v>
          </c:tx>
          <c:spPr>
            <a:ln w="38100">
              <a:solidFill>
                <a:sysClr val="windowText" lastClr="000000">
                  <a:lumMod val="50000"/>
                  <a:lumOff val="50000"/>
                </a:sysClr>
              </a:solidFill>
            </a:ln>
          </c:spPr>
          <c:marker>
            <c:symbol val="none"/>
          </c:marker>
          <c:cat>
            <c:numRef>
              <c:f>OtherElgBen!$A$41:$A$136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OtherElgBen!$K$41:$K$136</c:f>
              <c:numCache>
                <c:formatCode>0.000</c:formatCode>
                <c:ptCount val="9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numCache>
            </c:numRef>
          </c:val>
        </c:ser>
        <c:ser>
          <c:idx val="1"/>
          <c:order val="1"/>
          <c:tx>
            <c:v>Unemployment Insurance</c:v>
          </c:tx>
          <c:spPr>
            <a:ln w="38100">
              <a:solidFill>
                <a:srgbClr val="FF0000"/>
              </a:solidFill>
            </a:ln>
          </c:spPr>
          <c:marker>
            <c:symbol val="none"/>
          </c:marker>
          <c:cat>
            <c:numRef>
              <c:f>OtherElgBen!$A$41:$A$136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UIElg!$K$41:$K$136</c:f>
              <c:numCache>
                <c:formatCode>0.000</c:formatCode>
                <c:ptCount val="96"/>
                <c:pt idx="0">
                  <c:v>0.67985009157916287</c:v>
                </c:pt>
                <c:pt idx="1">
                  <c:v>0.67985009157916287</c:v>
                </c:pt>
                <c:pt idx="2">
                  <c:v>0.67985009157916287</c:v>
                </c:pt>
                <c:pt idx="3">
                  <c:v>0.67985009157916287</c:v>
                </c:pt>
                <c:pt idx="4">
                  <c:v>0.67985009157916287</c:v>
                </c:pt>
                <c:pt idx="5">
                  <c:v>0.67985009157916287</c:v>
                </c:pt>
                <c:pt idx="6">
                  <c:v>0.67985009157916287</c:v>
                </c:pt>
                <c:pt idx="7">
                  <c:v>0.67985009157916287</c:v>
                </c:pt>
                <c:pt idx="8">
                  <c:v>0.67985009157916287</c:v>
                </c:pt>
                <c:pt idx="9">
                  <c:v>0.67985009157916287</c:v>
                </c:pt>
                <c:pt idx="10">
                  <c:v>0.67985009157916287</c:v>
                </c:pt>
                <c:pt idx="11">
                  <c:v>0.67985009157916287</c:v>
                </c:pt>
                <c:pt idx="12">
                  <c:v>0.67985009157916287</c:v>
                </c:pt>
                <c:pt idx="13">
                  <c:v>0.67985009157916287</c:v>
                </c:pt>
                <c:pt idx="14">
                  <c:v>0.67985009157916287</c:v>
                </c:pt>
                <c:pt idx="15">
                  <c:v>0.67985009157916287</c:v>
                </c:pt>
                <c:pt idx="16">
                  <c:v>0.67985009157916287</c:v>
                </c:pt>
                <c:pt idx="17">
                  <c:v>0.67985009157916287</c:v>
                </c:pt>
                <c:pt idx="18">
                  <c:v>0.86115273903318967</c:v>
                </c:pt>
                <c:pt idx="19">
                  <c:v>0.86115273903318967</c:v>
                </c:pt>
                <c:pt idx="20">
                  <c:v>0.86115273903318967</c:v>
                </c:pt>
                <c:pt idx="21">
                  <c:v>0.86115273903318967</c:v>
                </c:pt>
                <c:pt idx="22">
                  <c:v>0.86115273903318967</c:v>
                </c:pt>
                <c:pt idx="23">
                  <c:v>0.93510516883586092</c:v>
                </c:pt>
                <c:pt idx="24">
                  <c:v>0.93510516883586092</c:v>
                </c:pt>
                <c:pt idx="25">
                  <c:v>0.93510516883586092</c:v>
                </c:pt>
                <c:pt idx="26">
                  <c:v>0.93510516883586092</c:v>
                </c:pt>
                <c:pt idx="27">
                  <c:v>0.97924742634443396</c:v>
                </c:pt>
                <c:pt idx="28">
                  <c:v>0.97924742634443396</c:v>
                </c:pt>
                <c:pt idx="29">
                  <c:v>0.97924742634443396</c:v>
                </c:pt>
                <c:pt idx="30">
                  <c:v>0.97924742634443396</c:v>
                </c:pt>
                <c:pt idx="31">
                  <c:v>0.97924742634443396</c:v>
                </c:pt>
                <c:pt idx="32">
                  <c:v>0.97924742634443396</c:v>
                </c:pt>
                <c:pt idx="33">
                  <c:v>0.97924742634443396</c:v>
                </c:pt>
                <c:pt idx="34">
                  <c:v>0.97924742634443396</c:v>
                </c:pt>
                <c:pt idx="35">
                  <c:v>1.0041505147311134</c:v>
                </c:pt>
                <c:pt idx="36">
                  <c:v>1.0041505147311134</c:v>
                </c:pt>
                <c:pt idx="37">
                  <c:v>1.0041505147311134</c:v>
                </c:pt>
                <c:pt idx="38">
                  <c:v>1.0041505147311134</c:v>
                </c:pt>
                <c:pt idx="39">
                  <c:v>1.0041505147311134</c:v>
                </c:pt>
                <c:pt idx="40">
                  <c:v>1.0041505147311134</c:v>
                </c:pt>
                <c:pt idx="41">
                  <c:v>1.0041505147311134</c:v>
                </c:pt>
                <c:pt idx="42">
                  <c:v>1.0041505147311134</c:v>
                </c:pt>
                <c:pt idx="43">
                  <c:v>1.0041505147311134</c:v>
                </c:pt>
                <c:pt idx="44">
                  <c:v>1.0041505147311134</c:v>
                </c:pt>
                <c:pt idx="45">
                  <c:v>1.0041505147311134</c:v>
                </c:pt>
                <c:pt idx="46">
                  <c:v>1.0041505147311134</c:v>
                </c:pt>
                <c:pt idx="47">
                  <c:v>1.0041505147311134</c:v>
                </c:pt>
                <c:pt idx="48">
                  <c:v>1.0041505147311134</c:v>
                </c:pt>
                <c:pt idx="49">
                  <c:v>1.0041505147311134</c:v>
                </c:pt>
                <c:pt idx="50">
                  <c:v>1.0041505147311134</c:v>
                </c:pt>
                <c:pt idx="51">
                  <c:v>1.0041505147311134</c:v>
                </c:pt>
                <c:pt idx="52">
                  <c:v>1.0041505147311134</c:v>
                </c:pt>
                <c:pt idx="53">
                  <c:v>1.0041505147311134</c:v>
                </c:pt>
                <c:pt idx="54">
                  <c:v>1.0041505147311134</c:v>
                </c:pt>
                <c:pt idx="55">
                  <c:v>1.0041505147311134</c:v>
                </c:pt>
                <c:pt idx="56">
                  <c:v>1.0041505147311134</c:v>
                </c:pt>
                <c:pt idx="57">
                  <c:v>1.0041505147311134</c:v>
                </c:pt>
                <c:pt idx="58">
                  <c:v>1.0041505147311134</c:v>
                </c:pt>
                <c:pt idx="59">
                  <c:v>1.0041505147311134</c:v>
                </c:pt>
                <c:pt idx="60">
                  <c:v>1.0041505147311134</c:v>
                </c:pt>
                <c:pt idx="61">
                  <c:v>1.0041505147311134</c:v>
                </c:pt>
                <c:pt idx="62">
                  <c:v>1.0041505147311134</c:v>
                </c:pt>
                <c:pt idx="63">
                  <c:v>1.0041505147311134</c:v>
                </c:pt>
                <c:pt idx="64">
                  <c:v>1.0041505147311134</c:v>
                </c:pt>
                <c:pt idx="65">
                  <c:v>0.99212799680474151</c:v>
                </c:pt>
                <c:pt idx="66">
                  <c:v>0.99212799680474151</c:v>
                </c:pt>
                <c:pt idx="67">
                  <c:v>0.99212799680474151</c:v>
                </c:pt>
                <c:pt idx="68">
                  <c:v>0.97924742634443396</c:v>
                </c:pt>
                <c:pt idx="69">
                  <c:v>0.97924742634443396</c:v>
                </c:pt>
                <c:pt idx="70">
                  <c:v>0.97924742634443396</c:v>
                </c:pt>
                <c:pt idx="71">
                  <c:v>0.97924742634443396</c:v>
                </c:pt>
                <c:pt idx="72">
                  <c:v>0.90180402321755559</c:v>
                </c:pt>
                <c:pt idx="73">
                  <c:v>0.90180402321755559</c:v>
                </c:pt>
                <c:pt idx="74">
                  <c:v>0.90180402321755559</c:v>
                </c:pt>
                <c:pt idx="75">
                  <c:v>0.90180402321755559</c:v>
                </c:pt>
                <c:pt idx="76">
                  <c:v>0.90180402321755559</c:v>
                </c:pt>
                <c:pt idx="77">
                  <c:v>0.90180402321755559</c:v>
                </c:pt>
                <c:pt idx="78">
                  <c:v>0.90180402321755559</c:v>
                </c:pt>
                <c:pt idx="79">
                  <c:v>0.90180402321755559</c:v>
                </c:pt>
                <c:pt idx="80">
                  <c:v>0.90180402321755559</c:v>
                </c:pt>
                <c:pt idx="81">
                  <c:v>0.90180402321755559</c:v>
                </c:pt>
                <c:pt idx="82">
                  <c:v>0.90180402321755559</c:v>
                </c:pt>
                <c:pt idx="83">
                  <c:v>0.90180402321755559</c:v>
                </c:pt>
                <c:pt idx="84">
                  <c:v>0.71194286446702404</c:v>
                </c:pt>
                <c:pt idx="85">
                  <c:v>0.71194286446702404</c:v>
                </c:pt>
                <c:pt idx="86">
                  <c:v>0.71194286446702404</c:v>
                </c:pt>
                <c:pt idx="87">
                  <c:v>0.71194286446702404</c:v>
                </c:pt>
                <c:pt idx="88">
                  <c:v>0.71194286446702404</c:v>
                </c:pt>
                <c:pt idx="89">
                  <c:v>0.71194286446702404</c:v>
                </c:pt>
                <c:pt idx="90">
                  <c:v>0.71194286446702404</c:v>
                </c:pt>
                <c:pt idx="91">
                  <c:v>0.71194286446702404</c:v>
                </c:pt>
                <c:pt idx="92">
                  <c:v>0.71194286446702404</c:v>
                </c:pt>
                <c:pt idx="93">
                  <c:v>0.71194286446702404</c:v>
                </c:pt>
                <c:pt idx="94">
                  <c:v>0.71194286446702404</c:v>
                </c:pt>
                <c:pt idx="95">
                  <c:v>0.71194286446702404</c:v>
                </c:pt>
              </c:numCache>
            </c:numRef>
          </c:val>
        </c:ser>
        <c:ser>
          <c:idx val="0"/>
          <c:order val="2"/>
          <c:tx>
            <c:v>SNAP</c:v>
          </c:tx>
          <c:spPr>
            <a:ln w="38100">
              <a:solidFill>
                <a:sysClr val="windowText" lastClr="000000"/>
              </a:solidFill>
            </a:ln>
          </c:spPr>
          <c:marker>
            <c:symbol val="none"/>
          </c:marker>
          <c:cat>
            <c:numRef>
              <c:f>OtherElgBen!$A$41:$A$136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SNAPElg!$K$41:$K$136</c:f>
              <c:numCache>
                <c:formatCode>0.000</c:formatCode>
                <c:ptCount val="96"/>
                <c:pt idx="0">
                  <c:v>0.8115305320278513</c:v>
                </c:pt>
                <c:pt idx="1">
                  <c:v>0.8115305320278513</c:v>
                </c:pt>
                <c:pt idx="2">
                  <c:v>0.8115305320278513</c:v>
                </c:pt>
                <c:pt idx="3">
                  <c:v>0.8115305320278513</c:v>
                </c:pt>
                <c:pt idx="4">
                  <c:v>0.8115305320278513</c:v>
                </c:pt>
                <c:pt idx="5">
                  <c:v>0.81898193045010081</c:v>
                </c:pt>
                <c:pt idx="6">
                  <c:v>0.81898193045010081</c:v>
                </c:pt>
                <c:pt idx="7">
                  <c:v>0.81898193045010081</c:v>
                </c:pt>
                <c:pt idx="8">
                  <c:v>0.81898193045010081</c:v>
                </c:pt>
                <c:pt idx="9">
                  <c:v>0.81898193045010081</c:v>
                </c:pt>
                <c:pt idx="10">
                  <c:v>0.81898193045010081</c:v>
                </c:pt>
                <c:pt idx="11">
                  <c:v>0.81898193045010081</c:v>
                </c:pt>
                <c:pt idx="12">
                  <c:v>0.84157166365465785</c:v>
                </c:pt>
                <c:pt idx="13">
                  <c:v>0.84157166365465785</c:v>
                </c:pt>
                <c:pt idx="14">
                  <c:v>0.85286490055930042</c:v>
                </c:pt>
                <c:pt idx="15">
                  <c:v>0.85286490055930042</c:v>
                </c:pt>
                <c:pt idx="16">
                  <c:v>0.85286490055930042</c:v>
                </c:pt>
                <c:pt idx="17">
                  <c:v>0.85286490055930042</c:v>
                </c:pt>
                <c:pt idx="18">
                  <c:v>0.85286490055930042</c:v>
                </c:pt>
                <c:pt idx="19">
                  <c:v>0.85286490055930042</c:v>
                </c:pt>
                <c:pt idx="20">
                  <c:v>0.85286490055930042</c:v>
                </c:pt>
                <c:pt idx="21">
                  <c:v>0.88906145979720752</c:v>
                </c:pt>
                <c:pt idx="22">
                  <c:v>0.88906145979720752</c:v>
                </c:pt>
                <c:pt idx="23">
                  <c:v>0.88906145979720752</c:v>
                </c:pt>
                <c:pt idx="24">
                  <c:v>0.88980820026087737</c:v>
                </c:pt>
                <c:pt idx="25">
                  <c:v>0.88980820026087737</c:v>
                </c:pt>
                <c:pt idx="26">
                  <c:v>0.89098893832320969</c:v>
                </c:pt>
                <c:pt idx="27">
                  <c:v>0.8954677963100246</c:v>
                </c:pt>
                <c:pt idx="28">
                  <c:v>0.89703883195929068</c:v>
                </c:pt>
                <c:pt idx="29">
                  <c:v>0.90338628640873342</c:v>
                </c:pt>
                <c:pt idx="30">
                  <c:v>0.95210925522163836</c:v>
                </c:pt>
                <c:pt idx="31">
                  <c:v>0.96726789175683392</c:v>
                </c:pt>
                <c:pt idx="32">
                  <c:v>0.96726789175683392</c:v>
                </c:pt>
                <c:pt idx="33">
                  <c:v>0.96726789175683392</c:v>
                </c:pt>
                <c:pt idx="34">
                  <c:v>0.96726789175683392</c:v>
                </c:pt>
                <c:pt idx="35">
                  <c:v>0.96726789175683392</c:v>
                </c:pt>
                <c:pt idx="36">
                  <c:v>0.96726789175683392</c:v>
                </c:pt>
                <c:pt idx="37">
                  <c:v>0.97297188474572127</c:v>
                </c:pt>
                <c:pt idx="38">
                  <c:v>0.98828357454846216</c:v>
                </c:pt>
                <c:pt idx="39">
                  <c:v>1.0019509963657249</c:v>
                </c:pt>
                <c:pt idx="40">
                  <c:v>1.0019509963657249</c:v>
                </c:pt>
                <c:pt idx="41">
                  <c:v>1.0160805387363021</c:v>
                </c:pt>
                <c:pt idx="42">
                  <c:v>1.0498968140702434</c:v>
                </c:pt>
                <c:pt idx="43">
                  <c:v>1.0498968140702434</c:v>
                </c:pt>
                <c:pt idx="44">
                  <c:v>1.0498968140702434</c:v>
                </c:pt>
                <c:pt idx="45">
                  <c:v>1.0498968140702434</c:v>
                </c:pt>
                <c:pt idx="46">
                  <c:v>1.0498968140702434</c:v>
                </c:pt>
                <c:pt idx="47">
                  <c:v>1.0498968140702434</c:v>
                </c:pt>
                <c:pt idx="48">
                  <c:v>1.0551555846233531</c:v>
                </c:pt>
                <c:pt idx="49">
                  <c:v>1.0551555846233531</c:v>
                </c:pt>
                <c:pt idx="50">
                  <c:v>1.0551555846233531</c:v>
                </c:pt>
                <c:pt idx="51">
                  <c:v>1.0551555846233531</c:v>
                </c:pt>
                <c:pt idx="52">
                  <c:v>1.0551555846233531</c:v>
                </c:pt>
                <c:pt idx="53">
                  <c:v>1.0551555846233531</c:v>
                </c:pt>
                <c:pt idx="54">
                  <c:v>1.0551555846233531</c:v>
                </c:pt>
                <c:pt idx="55">
                  <c:v>1.0551555846233531</c:v>
                </c:pt>
                <c:pt idx="56">
                  <c:v>1.0551555846233531</c:v>
                </c:pt>
                <c:pt idx="57">
                  <c:v>1.0611572756631387</c:v>
                </c:pt>
                <c:pt idx="58">
                  <c:v>1.0611572756631387</c:v>
                </c:pt>
                <c:pt idx="59">
                  <c:v>1.0611572756631387</c:v>
                </c:pt>
                <c:pt idx="60">
                  <c:v>1.0611572756631387</c:v>
                </c:pt>
                <c:pt idx="61">
                  <c:v>1.0611572756631387</c:v>
                </c:pt>
                <c:pt idx="62">
                  <c:v>1.0611572756631387</c:v>
                </c:pt>
                <c:pt idx="63">
                  <c:v>1.0611572756631387</c:v>
                </c:pt>
                <c:pt idx="64">
                  <c:v>1.0611572756631387</c:v>
                </c:pt>
                <c:pt idx="65">
                  <c:v>1.0611572756631387</c:v>
                </c:pt>
                <c:pt idx="66">
                  <c:v>1.0611572756631387</c:v>
                </c:pt>
                <c:pt idx="67">
                  <c:v>1.0611572756631387</c:v>
                </c:pt>
                <c:pt idx="68">
                  <c:v>1.0611572756631387</c:v>
                </c:pt>
                <c:pt idx="69">
                  <c:v>1.0365841096884711</c:v>
                </c:pt>
                <c:pt idx="70">
                  <c:v>1.0365841096884711</c:v>
                </c:pt>
                <c:pt idx="71">
                  <c:v>1.0365841096884711</c:v>
                </c:pt>
                <c:pt idx="72">
                  <c:v>1.0365841096884711</c:v>
                </c:pt>
                <c:pt idx="73">
                  <c:v>1.0365841096884711</c:v>
                </c:pt>
                <c:pt idx="74">
                  <c:v>1.0365841096884711</c:v>
                </c:pt>
                <c:pt idx="75">
                  <c:v>1.0365841096884711</c:v>
                </c:pt>
                <c:pt idx="76">
                  <c:v>1.0365841096884711</c:v>
                </c:pt>
                <c:pt idx="77">
                  <c:v>1.0365841096884711</c:v>
                </c:pt>
                <c:pt idx="78">
                  <c:v>1.0365841096884711</c:v>
                </c:pt>
                <c:pt idx="79">
                  <c:v>1.0365841096884711</c:v>
                </c:pt>
                <c:pt idx="80">
                  <c:v>1.0365841096884711</c:v>
                </c:pt>
                <c:pt idx="81">
                  <c:v>1.0365841096884711</c:v>
                </c:pt>
                <c:pt idx="82">
                  <c:v>1.0365841096884711</c:v>
                </c:pt>
                <c:pt idx="83">
                  <c:v>1.0365841096884711</c:v>
                </c:pt>
                <c:pt idx="84">
                  <c:v>1.0365841096884711</c:v>
                </c:pt>
                <c:pt idx="85">
                  <c:v>1.0365841096884711</c:v>
                </c:pt>
                <c:pt idx="86">
                  <c:v>1.0365841096884711</c:v>
                </c:pt>
                <c:pt idx="87">
                  <c:v>1.0365841096884711</c:v>
                </c:pt>
                <c:pt idx="88">
                  <c:v>1.0365841096884711</c:v>
                </c:pt>
                <c:pt idx="89">
                  <c:v>1.0365841096884711</c:v>
                </c:pt>
                <c:pt idx="90">
                  <c:v>1.0365841096884711</c:v>
                </c:pt>
                <c:pt idx="91">
                  <c:v>1.0365841096884711</c:v>
                </c:pt>
                <c:pt idx="92">
                  <c:v>1.0365841096884711</c:v>
                </c:pt>
                <c:pt idx="93">
                  <c:v>1.0365841096884711</c:v>
                </c:pt>
                <c:pt idx="94">
                  <c:v>1.0365841096884711</c:v>
                </c:pt>
                <c:pt idx="95">
                  <c:v>1.0365841096884711</c:v>
                </c:pt>
              </c:numCache>
            </c:numRef>
          </c:val>
        </c:ser>
        <c:dLbls/>
        <c:marker val="1"/>
        <c:axId val="103999744"/>
        <c:axId val="106553344"/>
      </c:lineChart>
      <c:dateAx>
        <c:axId val="103999744"/>
        <c:scaling>
          <c:orientation val="minMax"/>
          <c:max val="40908"/>
        </c:scaling>
        <c:axPos val="b"/>
        <c:numFmt formatCode="yyyy" sourceLinked="0"/>
        <c:tickLblPos val="nextTo"/>
        <c:txPr>
          <a:bodyPr/>
          <a:lstStyle/>
          <a:p>
            <a:pPr>
              <a:defRPr sz="1200"/>
            </a:pPr>
            <a:endParaRPr lang="en-US"/>
          </a:p>
        </c:txPr>
        <c:crossAx val="106553344"/>
        <c:crosses val="autoZero"/>
        <c:auto val="1"/>
        <c:lblOffset val="100"/>
        <c:baseTimeUnit val="months"/>
        <c:majorUnit val="1"/>
        <c:majorTimeUnit val="years"/>
      </c:dateAx>
      <c:valAx>
        <c:axId val="106553344"/>
        <c:scaling>
          <c:orientation val="minMax"/>
          <c:max val="1.1000000000000001"/>
          <c:min val="0.60000000000000064"/>
        </c:scaling>
        <c:axPos val="l"/>
        <c:title>
          <c:tx>
            <c:rich>
              <a:bodyPr rot="-5400000" vert="horz"/>
              <a:lstStyle/>
              <a:p>
                <a:pPr>
                  <a:defRPr sz="1400"/>
                </a:pPr>
                <a:r>
                  <a:rPr lang="en-US"/>
                  <a:t>Index, FY 2010=1</a:t>
                </a:r>
              </a:p>
            </c:rich>
          </c:tx>
        </c:title>
        <c:numFmt formatCode="General" sourceLinked="0"/>
        <c:tickLblPos val="nextTo"/>
        <c:txPr>
          <a:bodyPr/>
          <a:lstStyle/>
          <a:p>
            <a:pPr>
              <a:defRPr sz="1200"/>
            </a:pPr>
            <a:endParaRPr lang="en-US"/>
          </a:p>
        </c:txPr>
        <c:crossAx val="103999744"/>
        <c:crosses val="autoZero"/>
        <c:crossBetween val="between"/>
        <c:majorUnit val="0.1"/>
      </c:valAx>
    </c:plotArea>
    <c:legend>
      <c:legendPos val="r"/>
      <c:layout>
        <c:manualLayout>
          <c:xMode val="edge"/>
          <c:yMode val="edge"/>
          <c:x val="0.5573932140319956"/>
          <c:y val="0.5471319399218495"/>
          <c:w val="0.25666935958443154"/>
          <c:h val="0.12933363521654168"/>
        </c:manualLayout>
      </c:layout>
      <c:txPr>
        <a:bodyPr/>
        <a:lstStyle/>
        <a:p>
          <a:pPr>
            <a:defRPr sz="1400"/>
          </a:pPr>
          <a:endParaRPr lang="en-US"/>
        </a:p>
      </c:txPr>
    </c:legend>
    <c:plotVisOnly val="1"/>
    <c:dispBlanksAs val="gap"/>
  </c:chart>
  <c:spPr>
    <a:ln>
      <a:noFill/>
    </a:ln>
  </c:spPr>
  <c:userShapes r:id="rId2"/>
</c:chartSpace>
</file>

<file path=xl/charts/chart3.xml><?xml version="1.0" encoding="utf-8"?>
<c:chartSpace xmlns:c="http://schemas.openxmlformats.org/drawingml/2006/chart" xmlns:a="http://schemas.openxmlformats.org/drawingml/2006/main" xmlns:r="http://schemas.openxmlformats.org/officeDocument/2006/relationships">
  <c:lang val="en-US"/>
  <c:clrMapOvr bg1="lt1" tx1="dk1" bg2="lt2" tx2="dk2" accent1="accent1" accent2="accent2" accent3="accent3" accent4="accent4" accent5="accent5" accent6="accent6" hlink="hlink" folHlink="folHlink"/>
  <c:chart>
    <c:title>
      <c:tx>
        <c:strRef>
          <c:f>OtherElgBen!$K$4</c:f>
          <c:strCache>
            <c:ptCount val="1"/>
            <c:pt idx="0">
              <c:v>Figure 3.3.  Statutory Safety Net Benefits per Non-elderly Participant</c:v>
            </c:pt>
          </c:strCache>
        </c:strRef>
      </c:tx>
      <c:overlay val="1"/>
      <c:txPr>
        <a:bodyPr/>
        <a:lstStyle/>
        <a:p>
          <a:pPr>
            <a:defRPr/>
          </a:pPr>
          <a:endParaRPr lang="en-US"/>
        </a:p>
      </c:txPr>
    </c:title>
    <c:plotArea>
      <c:layout>
        <c:manualLayout>
          <c:layoutTarget val="inner"/>
          <c:xMode val="edge"/>
          <c:yMode val="edge"/>
          <c:x val="9.4185166002213244E-2"/>
          <c:y val="9.2244770890996447E-2"/>
          <c:w val="0.81558975360957986"/>
          <c:h val="0.8323866093597363"/>
        </c:manualLayout>
      </c:layout>
      <c:lineChart>
        <c:grouping val="standard"/>
        <c:ser>
          <c:idx val="2"/>
          <c:order val="0"/>
          <c:tx>
            <c:v>Medicaid</c:v>
          </c:tx>
          <c:spPr>
            <a:ln w="38100">
              <a:solidFill>
                <a:sysClr val="windowText" lastClr="000000">
                  <a:lumMod val="50000"/>
                  <a:lumOff val="50000"/>
                </a:sysClr>
              </a:solidFill>
            </a:ln>
          </c:spPr>
          <c:marker>
            <c:symbol val="none"/>
          </c:marker>
          <c:cat>
            <c:numRef>
              <c:f>OtherElgBen!$A$41:$A$136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MedicaidElgBen!$M$41:$M$136</c:f>
              <c:numCache>
                <c:formatCode>0.00</c:formatCode>
                <c:ptCount val="96"/>
                <c:pt idx="0">
                  <c:v>357.99499046158445</c:v>
                </c:pt>
                <c:pt idx="1">
                  <c:v>357.99499046158445</c:v>
                </c:pt>
                <c:pt idx="2">
                  <c:v>357.99499046158445</c:v>
                </c:pt>
                <c:pt idx="3">
                  <c:v>357.99499046158445</c:v>
                </c:pt>
                <c:pt idx="4">
                  <c:v>357.99499046158445</c:v>
                </c:pt>
                <c:pt idx="5">
                  <c:v>357.99499046158445</c:v>
                </c:pt>
                <c:pt idx="6">
                  <c:v>357.99499046158445</c:v>
                </c:pt>
                <c:pt idx="7">
                  <c:v>357.99499046158445</c:v>
                </c:pt>
                <c:pt idx="8">
                  <c:v>357.99499046158445</c:v>
                </c:pt>
                <c:pt idx="9">
                  <c:v>357.99499046158445</c:v>
                </c:pt>
                <c:pt idx="10">
                  <c:v>357.99499046158445</c:v>
                </c:pt>
                <c:pt idx="11">
                  <c:v>357.99499046158445</c:v>
                </c:pt>
                <c:pt idx="12">
                  <c:v>357.99499046158445</c:v>
                </c:pt>
                <c:pt idx="13">
                  <c:v>357.99499046158445</c:v>
                </c:pt>
                <c:pt idx="14">
                  <c:v>357.99499046158445</c:v>
                </c:pt>
                <c:pt idx="15">
                  <c:v>357.99499046158445</c:v>
                </c:pt>
                <c:pt idx="16">
                  <c:v>357.99499046158445</c:v>
                </c:pt>
                <c:pt idx="17">
                  <c:v>357.99499046158445</c:v>
                </c:pt>
                <c:pt idx="18">
                  <c:v>357.99499046158445</c:v>
                </c:pt>
                <c:pt idx="19">
                  <c:v>357.99499046158445</c:v>
                </c:pt>
                <c:pt idx="20">
                  <c:v>357.99499046158445</c:v>
                </c:pt>
                <c:pt idx="21">
                  <c:v>357.99499046158445</c:v>
                </c:pt>
                <c:pt idx="22">
                  <c:v>357.99499046158445</c:v>
                </c:pt>
                <c:pt idx="23">
                  <c:v>357.99499046158445</c:v>
                </c:pt>
                <c:pt idx="24">
                  <c:v>357.99499046158445</c:v>
                </c:pt>
                <c:pt idx="25">
                  <c:v>357.99499046158445</c:v>
                </c:pt>
                <c:pt idx="26">
                  <c:v>357.99499046158445</c:v>
                </c:pt>
                <c:pt idx="27">
                  <c:v>357.99499046158445</c:v>
                </c:pt>
                <c:pt idx="28">
                  <c:v>357.99499046158445</c:v>
                </c:pt>
                <c:pt idx="29">
                  <c:v>357.99499046158445</c:v>
                </c:pt>
                <c:pt idx="30">
                  <c:v>357.99499046158445</c:v>
                </c:pt>
                <c:pt idx="31">
                  <c:v>357.99499046158445</c:v>
                </c:pt>
                <c:pt idx="32">
                  <c:v>357.99499046158445</c:v>
                </c:pt>
                <c:pt idx="33">
                  <c:v>357.99499046158445</c:v>
                </c:pt>
                <c:pt idx="34">
                  <c:v>357.99499046158445</c:v>
                </c:pt>
                <c:pt idx="35">
                  <c:v>357.99499046158445</c:v>
                </c:pt>
                <c:pt idx="36">
                  <c:v>357.99499046158445</c:v>
                </c:pt>
                <c:pt idx="37">
                  <c:v>357.99499046158445</c:v>
                </c:pt>
                <c:pt idx="38">
                  <c:v>357.99499046158445</c:v>
                </c:pt>
                <c:pt idx="39">
                  <c:v>357.99499046158445</c:v>
                </c:pt>
                <c:pt idx="40">
                  <c:v>357.99499046158445</c:v>
                </c:pt>
                <c:pt idx="41">
                  <c:v>357.99499046158445</c:v>
                </c:pt>
                <c:pt idx="42">
                  <c:v>357.99499046158445</c:v>
                </c:pt>
                <c:pt idx="43">
                  <c:v>357.99499046158445</c:v>
                </c:pt>
                <c:pt idx="44">
                  <c:v>357.99499046158445</c:v>
                </c:pt>
                <c:pt idx="45">
                  <c:v>357.99499046158445</c:v>
                </c:pt>
                <c:pt idx="46">
                  <c:v>357.99499046158445</c:v>
                </c:pt>
                <c:pt idx="47">
                  <c:v>357.99499046158445</c:v>
                </c:pt>
                <c:pt idx="48">
                  <c:v>357.99499046158445</c:v>
                </c:pt>
                <c:pt idx="49">
                  <c:v>357.99499046158445</c:v>
                </c:pt>
                <c:pt idx="50">
                  <c:v>357.99499046158445</c:v>
                </c:pt>
                <c:pt idx="51">
                  <c:v>357.99499046158445</c:v>
                </c:pt>
                <c:pt idx="52">
                  <c:v>357.99499046158445</c:v>
                </c:pt>
                <c:pt idx="53">
                  <c:v>357.99499046158445</c:v>
                </c:pt>
                <c:pt idx="54">
                  <c:v>357.99499046158445</c:v>
                </c:pt>
                <c:pt idx="55">
                  <c:v>357.99499046158445</c:v>
                </c:pt>
                <c:pt idx="56">
                  <c:v>357.99499046158445</c:v>
                </c:pt>
                <c:pt idx="57">
                  <c:v>357.99499046158445</c:v>
                </c:pt>
                <c:pt idx="58">
                  <c:v>357.99499046158445</c:v>
                </c:pt>
                <c:pt idx="59">
                  <c:v>357.99499046158445</c:v>
                </c:pt>
                <c:pt idx="60">
                  <c:v>357.99499046158445</c:v>
                </c:pt>
                <c:pt idx="61">
                  <c:v>357.99499046158445</c:v>
                </c:pt>
                <c:pt idx="62">
                  <c:v>357.99499046158445</c:v>
                </c:pt>
                <c:pt idx="63">
                  <c:v>357.99499046158445</c:v>
                </c:pt>
                <c:pt idx="64">
                  <c:v>357.99499046158445</c:v>
                </c:pt>
                <c:pt idx="65">
                  <c:v>357.99499046158445</c:v>
                </c:pt>
                <c:pt idx="66">
                  <c:v>357.99499046158445</c:v>
                </c:pt>
                <c:pt idx="67">
                  <c:v>357.99499046158445</c:v>
                </c:pt>
                <c:pt idx="68">
                  <c:v>357.99499046158445</c:v>
                </c:pt>
                <c:pt idx="69">
                  <c:v>357.99499046158445</c:v>
                </c:pt>
                <c:pt idx="70">
                  <c:v>357.99499046158445</c:v>
                </c:pt>
                <c:pt idx="71">
                  <c:v>357.99499046158445</c:v>
                </c:pt>
                <c:pt idx="72">
                  <c:v>357.99499046158445</c:v>
                </c:pt>
                <c:pt idx="73">
                  <c:v>357.99499046158445</c:v>
                </c:pt>
                <c:pt idx="74">
                  <c:v>357.99499046158445</c:v>
                </c:pt>
                <c:pt idx="75">
                  <c:v>357.99499046158445</c:v>
                </c:pt>
                <c:pt idx="76">
                  <c:v>357.99499046158445</c:v>
                </c:pt>
                <c:pt idx="77">
                  <c:v>357.99499046158445</c:v>
                </c:pt>
                <c:pt idx="78">
                  <c:v>357.99499046158445</c:v>
                </c:pt>
                <c:pt idx="79">
                  <c:v>357.99499046158445</c:v>
                </c:pt>
                <c:pt idx="80">
                  <c:v>357.99499046158445</c:v>
                </c:pt>
                <c:pt idx="81">
                  <c:v>357.99499046158445</c:v>
                </c:pt>
                <c:pt idx="82">
                  <c:v>357.99499046158445</c:v>
                </c:pt>
                <c:pt idx="83">
                  <c:v>357.99499046158445</c:v>
                </c:pt>
                <c:pt idx="84">
                  <c:v>357.99499046158445</c:v>
                </c:pt>
                <c:pt idx="85">
                  <c:v>357.99499046158445</c:v>
                </c:pt>
                <c:pt idx="86">
                  <c:v>357.99499046158445</c:v>
                </c:pt>
                <c:pt idx="87">
                  <c:v>357.99499046158445</c:v>
                </c:pt>
                <c:pt idx="88">
                  <c:v>357.99499046158445</c:v>
                </c:pt>
                <c:pt idx="89">
                  <c:v>357.99499046158445</c:v>
                </c:pt>
                <c:pt idx="90">
                  <c:v>357.99499046158445</c:v>
                </c:pt>
                <c:pt idx="91">
                  <c:v>357.99499046158445</c:v>
                </c:pt>
                <c:pt idx="92">
                  <c:v>357.99499046158445</c:v>
                </c:pt>
                <c:pt idx="93">
                  <c:v>357.99499046158445</c:v>
                </c:pt>
                <c:pt idx="94">
                  <c:v>357.99499046158445</c:v>
                </c:pt>
                <c:pt idx="95">
                  <c:v>357.99499046158445</c:v>
                </c:pt>
              </c:numCache>
            </c:numRef>
          </c:val>
        </c:ser>
        <c:ser>
          <c:idx val="0"/>
          <c:order val="2"/>
          <c:tx>
            <c:v>SNAP (per household)</c:v>
          </c:tx>
          <c:spPr>
            <a:ln w="38100">
              <a:solidFill>
                <a:sysClr val="windowText" lastClr="000000"/>
              </a:solidFill>
            </a:ln>
          </c:spPr>
          <c:marker>
            <c:symbol val="none"/>
          </c:marker>
          <c:cat>
            <c:numRef>
              <c:f>OtherElgBen!$A$41:$A$136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SNAPBen!$K$41:$K$136</c:f>
              <c:numCache>
                <c:formatCode>0.00</c:formatCode>
                <c:ptCount val="96"/>
                <c:pt idx="0">
                  <c:v>244.91091543688498</c:v>
                </c:pt>
                <c:pt idx="1">
                  <c:v>244.02999162157619</c:v>
                </c:pt>
                <c:pt idx="2">
                  <c:v>243.0810392067784</c:v>
                </c:pt>
                <c:pt idx="3">
                  <c:v>242.53415958683158</c:v>
                </c:pt>
                <c:pt idx="4">
                  <c:v>241.83102169593408</c:v>
                </c:pt>
                <c:pt idx="5">
                  <c:v>241.44774944243719</c:v>
                </c:pt>
                <c:pt idx="6">
                  <c:v>241.03599972050523</c:v>
                </c:pt>
                <c:pt idx="7">
                  <c:v>240.86257118444195</c:v>
                </c:pt>
                <c:pt idx="8">
                  <c:v>239.9289953271379</c:v>
                </c:pt>
                <c:pt idx="9">
                  <c:v>253.18581230100349</c:v>
                </c:pt>
                <c:pt idx="10">
                  <c:v>251.80995689164584</c:v>
                </c:pt>
                <c:pt idx="11">
                  <c:v>251.03044673119504</c:v>
                </c:pt>
                <c:pt idx="12">
                  <c:v>250.28831927400114</c:v>
                </c:pt>
                <c:pt idx="13">
                  <c:v>249.72880565294653</c:v>
                </c:pt>
                <c:pt idx="14">
                  <c:v>248.85854979504555</c:v>
                </c:pt>
                <c:pt idx="15">
                  <c:v>248.06745985890598</c:v>
                </c:pt>
                <c:pt idx="16">
                  <c:v>247.04766465425919</c:v>
                </c:pt>
                <c:pt idx="17">
                  <c:v>245.53135751050803</c:v>
                </c:pt>
                <c:pt idx="18">
                  <c:v>244.2283607840269</c:v>
                </c:pt>
                <c:pt idx="19">
                  <c:v>244.43235930587696</c:v>
                </c:pt>
                <c:pt idx="20">
                  <c:v>244.13977194311678</c:v>
                </c:pt>
                <c:pt idx="21">
                  <c:v>273.72863050045538</c:v>
                </c:pt>
                <c:pt idx="22">
                  <c:v>277.04938467830584</c:v>
                </c:pt>
                <c:pt idx="23">
                  <c:v>278.45714810986823</c:v>
                </c:pt>
                <c:pt idx="24">
                  <c:v>278.02662666140463</c:v>
                </c:pt>
                <c:pt idx="25">
                  <c:v>277.20794266017703</c:v>
                </c:pt>
                <c:pt idx="26">
                  <c:v>277.45893705552697</c:v>
                </c:pt>
                <c:pt idx="27">
                  <c:v>322.95543447400786</c:v>
                </c:pt>
                <c:pt idx="28">
                  <c:v>322.54786154436778</c:v>
                </c:pt>
                <c:pt idx="29">
                  <c:v>320.8454656764859</c:v>
                </c:pt>
                <c:pt idx="30">
                  <c:v>320.56347861531219</c:v>
                </c:pt>
                <c:pt idx="31">
                  <c:v>319.59500005177011</c:v>
                </c:pt>
                <c:pt idx="32">
                  <c:v>319.04171485805864</c:v>
                </c:pt>
                <c:pt idx="33">
                  <c:v>318.02461563175569</c:v>
                </c:pt>
                <c:pt idx="34">
                  <c:v>317.40480261858596</c:v>
                </c:pt>
                <c:pt idx="35">
                  <c:v>317.22076649458177</c:v>
                </c:pt>
                <c:pt idx="36">
                  <c:v>316.43526854584502</c:v>
                </c:pt>
                <c:pt idx="37">
                  <c:v>316.16954143834084</c:v>
                </c:pt>
                <c:pt idx="38">
                  <c:v>315.67357133159572</c:v>
                </c:pt>
                <c:pt idx="39">
                  <c:v>315.55693125278862</c:v>
                </c:pt>
                <c:pt idx="40">
                  <c:v>315.71626607822776</c:v>
                </c:pt>
                <c:pt idx="41">
                  <c:v>316.22950531647427</c:v>
                </c:pt>
                <c:pt idx="42">
                  <c:v>315.52280899735013</c:v>
                </c:pt>
                <c:pt idx="43">
                  <c:v>315.01469331166885</c:v>
                </c:pt>
                <c:pt idx="44">
                  <c:v>314.65235040727464</c:v>
                </c:pt>
                <c:pt idx="45">
                  <c:v>313.97238397510745</c:v>
                </c:pt>
                <c:pt idx="46">
                  <c:v>313.72764029488604</c:v>
                </c:pt>
                <c:pt idx="47">
                  <c:v>312.942543106757</c:v>
                </c:pt>
                <c:pt idx="48">
                  <c:v>311.80000005050738</c:v>
                </c:pt>
                <c:pt idx="49">
                  <c:v>310.56106331584817</c:v>
                </c:pt>
                <c:pt idx="50">
                  <c:v>309.33466619849048</c:v>
                </c:pt>
                <c:pt idx="51">
                  <c:v>308.28339677471325</c:v>
                </c:pt>
                <c:pt idx="52">
                  <c:v>307.74150295018399</c:v>
                </c:pt>
                <c:pt idx="53">
                  <c:v>308.12876268884196</c:v>
                </c:pt>
                <c:pt idx="54">
                  <c:v>307.00219374745234</c:v>
                </c:pt>
                <c:pt idx="55">
                  <c:v>306.17002033569946</c:v>
                </c:pt>
                <c:pt idx="56">
                  <c:v>305.66220477392261</c:v>
                </c:pt>
                <c:pt idx="57">
                  <c:v>305.63819213595951</c:v>
                </c:pt>
                <c:pt idx="58">
                  <c:v>305.36897549075502</c:v>
                </c:pt>
                <c:pt idx="59">
                  <c:v>305.16138995025301</c:v>
                </c:pt>
                <c:pt idx="60">
                  <c:v>304.47411940480458</c:v>
                </c:pt>
                <c:pt idx="61">
                  <c:v>303.52922793775895</c:v>
                </c:pt>
                <c:pt idx="62">
                  <c:v>303.52922793775895</c:v>
                </c:pt>
                <c:pt idx="63">
                  <c:v>303.52922793775895</c:v>
                </c:pt>
                <c:pt idx="64">
                  <c:v>303.52922793775895</c:v>
                </c:pt>
                <c:pt idx="65">
                  <c:v>303.52922793775895</c:v>
                </c:pt>
                <c:pt idx="66">
                  <c:v>303.52922793775895</c:v>
                </c:pt>
                <c:pt idx="67">
                  <c:v>303.52922793775895</c:v>
                </c:pt>
                <c:pt idx="68">
                  <c:v>303.52922793775895</c:v>
                </c:pt>
                <c:pt idx="69">
                  <c:v>303.52922793775895</c:v>
                </c:pt>
                <c:pt idx="70">
                  <c:v>303.52922793775895</c:v>
                </c:pt>
                <c:pt idx="71">
                  <c:v>303.52922793775895</c:v>
                </c:pt>
                <c:pt idx="72">
                  <c:v>303.52922793775895</c:v>
                </c:pt>
                <c:pt idx="73">
                  <c:v>303.52922793775895</c:v>
                </c:pt>
                <c:pt idx="74">
                  <c:v>303.52922793775895</c:v>
                </c:pt>
                <c:pt idx="75">
                  <c:v>303.52922793775895</c:v>
                </c:pt>
                <c:pt idx="76">
                  <c:v>303.52922793775895</c:v>
                </c:pt>
                <c:pt idx="77">
                  <c:v>303.52922793775895</c:v>
                </c:pt>
                <c:pt idx="78">
                  <c:v>303.52922793775895</c:v>
                </c:pt>
                <c:pt idx="79">
                  <c:v>303.52922793775895</c:v>
                </c:pt>
                <c:pt idx="80">
                  <c:v>303.52922793775895</c:v>
                </c:pt>
                <c:pt idx="81">
                  <c:v>303.52922793775895</c:v>
                </c:pt>
                <c:pt idx="82">
                  <c:v>303.52922793775895</c:v>
                </c:pt>
                <c:pt idx="83">
                  <c:v>303.52922793775895</c:v>
                </c:pt>
                <c:pt idx="84">
                  <c:v>303.52922793775895</c:v>
                </c:pt>
                <c:pt idx="85">
                  <c:v>303.52922793775895</c:v>
                </c:pt>
                <c:pt idx="86">
                  <c:v>303.52922793775895</c:v>
                </c:pt>
                <c:pt idx="87">
                  <c:v>303.52922793775895</c:v>
                </c:pt>
                <c:pt idx="88">
                  <c:v>303.52922793775895</c:v>
                </c:pt>
                <c:pt idx="89">
                  <c:v>303.52922793775895</c:v>
                </c:pt>
                <c:pt idx="90">
                  <c:v>303.52922793775895</c:v>
                </c:pt>
                <c:pt idx="91">
                  <c:v>303.52922793775895</c:v>
                </c:pt>
                <c:pt idx="92">
                  <c:v>303.52922793775895</c:v>
                </c:pt>
                <c:pt idx="93">
                  <c:v>303.52922793775895</c:v>
                </c:pt>
                <c:pt idx="94">
                  <c:v>303.52922793775895</c:v>
                </c:pt>
                <c:pt idx="95">
                  <c:v>303.52922793775895</c:v>
                </c:pt>
              </c:numCache>
            </c:numRef>
          </c:val>
        </c:ser>
        <c:ser>
          <c:idx val="3"/>
          <c:order val="3"/>
          <c:tx>
            <c:v>other means-tested programs combined</c:v>
          </c:tx>
          <c:spPr>
            <a:ln w="38100">
              <a:solidFill>
                <a:srgbClr val="FFA7A7"/>
              </a:solidFill>
            </a:ln>
          </c:spPr>
          <c:marker>
            <c:symbol val="none"/>
          </c:marker>
          <c:cat>
            <c:numRef>
              <c:f>OtherElgBen!$A$41:$A$136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OtherElgBen!$M$41:$M$136</c:f>
              <c:numCache>
                <c:formatCode>0.00</c:formatCode>
                <c:ptCount val="96"/>
                <c:pt idx="0">
                  <c:v>233.64724974684938</c:v>
                </c:pt>
                <c:pt idx="1">
                  <c:v>233.64724974684938</c:v>
                </c:pt>
                <c:pt idx="2">
                  <c:v>233.64724974684938</c:v>
                </c:pt>
                <c:pt idx="3">
                  <c:v>233.64724974684938</c:v>
                </c:pt>
                <c:pt idx="4">
                  <c:v>233.64724974684938</c:v>
                </c:pt>
                <c:pt idx="5">
                  <c:v>233.64724974684938</c:v>
                </c:pt>
                <c:pt idx="6">
                  <c:v>233.64724974684938</c:v>
                </c:pt>
                <c:pt idx="7">
                  <c:v>233.64724974684938</c:v>
                </c:pt>
                <c:pt idx="8">
                  <c:v>233.64724974684938</c:v>
                </c:pt>
                <c:pt idx="9">
                  <c:v>233.64724974684938</c:v>
                </c:pt>
                <c:pt idx="10">
                  <c:v>233.64724974684938</c:v>
                </c:pt>
                <c:pt idx="11">
                  <c:v>233.64724974684938</c:v>
                </c:pt>
                <c:pt idx="12">
                  <c:v>233.64724974684938</c:v>
                </c:pt>
                <c:pt idx="13">
                  <c:v>233.64724974684938</c:v>
                </c:pt>
                <c:pt idx="14">
                  <c:v>233.64724974684938</c:v>
                </c:pt>
                <c:pt idx="15">
                  <c:v>233.64724974684938</c:v>
                </c:pt>
                <c:pt idx="16">
                  <c:v>233.64724974684938</c:v>
                </c:pt>
                <c:pt idx="17">
                  <c:v>233.64724974684938</c:v>
                </c:pt>
                <c:pt idx="18">
                  <c:v>233.64724974684938</c:v>
                </c:pt>
                <c:pt idx="19">
                  <c:v>233.64724974684938</c:v>
                </c:pt>
                <c:pt idx="20">
                  <c:v>233.64724974684938</c:v>
                </c:pt>
                <c:pt idx="21">
                  <c:v>233.64724974684938</c:v>
                </c:pt>
                <c:pt idx="22">
                  <c:v>233.64724974684938</c:v>
                </c:pt>
                <c:pt idx="23">
                  <c:v>233.64724974684938</c:v>
                </c:pt>
                <c:pt idx="24">
                  <c:v>233.64724974684938</c:v>
                </c:pt>
                <c:pt idx="25">
                  <c:v>233.64724974684938</c:v>
                </c:pt>
                <c:pt idx="26">
                  <c:v>233.64724974684938</c:v>
                </c:pt>
                <c:pt idx="27">
                  <c:v>233.64724974684938</c:v>
                </c:pt>
                <c:pt idx="28">
                  <c:v>233.64724974684938</c:v>
                </c:pt>
                <c:pt idx="29">
                  <c:v>233.64724974684938</c:v>
                </c:pt>
                <c:pt idx="30">
                  <c:v>233.64724974684938</c:v>
                </c:pt>
                <c:pt idx="31">
                  <c:v>233.64724974684938</c:v>
                </c:pt>
                <c:pt idx="32">
                  <c:v>233.64724974684938</c:v>
                </c:pt>
                <c:pt idx="33">
                  <c:v>233.64724974684938</c:v>
                </c:pt>
                <c:pt idx="34">
                  <c:v>233.64724974684938</c:v>
                </c:pt>
                <c:pt idx="35">
                  <c:v>233.64724974684938</c:v>
                </c:pt>
                <c:pt idx="36">
                  <c:v>233.64724974684938</c:v>
                </c:pt>
                <c:pt idx="37">
                  <c:v>233.64724974684938</c:v>
                </c:pt>
                <c:pt idx="38">
                  <c:v>233.64724974684938</c:v>
                </c:pt>
                <c:pt idx="39">
                  <c:v>233.64724974684938</c:v>
                </c:pt>
                <c:pt idx="40">
                  <c:v>233.64724974684938</c:v>
                </c:pt>
                <c:pt idx="41">
                  <c:v>233.64724974684938</c:v>
                </c:pt>
                <c:pt idx="42">
                  <c:v>233.64724974684938</c:v>
                </c:pt>
                <c:pt idx="43">
                  <c:v>233.64724974684938</c:v>
                </c:pt>
                <c:pt idx="44">
                  <c:v>233.64724974684938</c:v>
                </c:pt>
                <c:pt idx="45">
                  <c:v>233.64724974684938</c:v>
                </c:pt>
                <c:pt idx="46">
                  <c:v>233.64724974684938</c:v>
                </c:pt>
                <c:pt idx="47">
                  <c:v>233.64724974684938</c:v>
                </c:pt>
                <c:pt idx="48">
                  <c:v>233.64724974684938</c:v>
                </c:pt>
                <c:pt idx="49">
                  <c:v>233.64724974684938</c:v>
                </c:pt>
                <c:pt idx="50">
                  <c:v>233.64724974684938</c:v>
                </c:pt>
                <c:pt idx="51">
                  <c:v>233.64724974684938</c:v>
                </c:pt>
                <c:pt idx="52">
                  <c:v>233.64724974684938</c:v>
                </c:pt>
                <c:pt idx="53">
                  <c:v>233.64724974684938</c:v>
                </c:pt>
                <c:pt idx="54">
                  <c:v>233.64724974684938</c:v>
                </c:pt>
                <c:pt idx="55">
                  <c:v>233.64724974684938</c:v>
                </c:pt>
                <c:pt idx="56">
                  <c:v>233.64724974684938</c:v>
                </c:pt>
                <c:pt idx="57">
                  <c:v>233.64724974684938</c:v>
                </c:pt>
                <c:pt idx="58">
                  <c:v>233.64724974684938</c:v>
                </c:pt>
                <c:pt idx="59">
                  <c:v>233.64724974684938</c:v>
                </c:pt>
                <c:pt idx="60">
                  <c:v>233.64724974684938</c:v>
                </c:pt>
                <c:pt idx="61">
                  <c:v>233.64724974684938</c:v>
                </c:pt>
                <c:pt idx="62">
                  <c:v>233.64724974684938</c:v>
                </c:pt>
                <c:pt idx="63">
                  <c:v>233.64724974684938</c:v>
                </c:pt>
                <c:pt idx="64">
                  <c:v>233.64724974684938</c:v>
                </c:pt>
                <c:pt idx="65">
                  <c:v>233.64724974684938</c:v>
                </c:pt>
                <c:pt idx="66">
                  <c:v>233.64724974684938</c:v>
                </c:pt>
                <c:pt idx="67">
                  <c:v>233.64724974684938</c:v>
                </c:pt>
                <c:pt idx="68">
                  <c:v>233.64724974684938</c:v>
                </c:pt>
                <c:pt idx="69">
                  <c:v>233.64724974684938</c:v>
                </c:pt>
                <c:pt idx="70">
                  <c:v>233.64724974684938</c:v>
                </c:pt>
                <c:pt idx="71">
                  <c:v>233.64724974684938</c:v>
                </c:pt>
                <c:pt idx="72">
                  <c:v>233.64724974684938</c:v>
                </c:pt>
                <c:pt idx="73">
                  <c:v>233.64724974684938</c:v>
                </c:pt>
                <c:pt idx="74">
                  <c:v>233.64724974684938</c:v>
                </c:pt>
                <c:pt idx="75">
                  <c:v>233.64724974684938</c:v>
                </c:pt>
                <c:pt idx="76">
                  <c:v>233.64724974684938</c:v>
                </c:pt>
                <c:pt idx="77">
                  <c:v>233.64724974684938</c:v>
                </c:pt>
                <c:pt idx="78">
                  <c:v>233.64724974684938</c:v>
                </c:pt>
                <c:pt idx="79">
                  <c:v>233.64724974684938</c:v>
                </c:pt>
                <c:pt idx="80">
                  <c:v>233.64724974684938</c:v>
                </c:pt>
                <c:pt idx="81">
                  <c:v>233.64724974684938</c:v>
                </c:pt>
                <c:pt idx="82">
                  <c:v>233.64724974684938</c:v>
                </c:pt>
                <c:pt idx="83">
                  <c:v>233.64724974684938</c:v>
                </c:pt>
                <c:pt idx="84">
                  <c:v>233.64724974684938</c:v>
                </c:pt>
                <c:pt idx="85">
                  <c:v>233.64724974684938</c:v>
                </c:pt>
                <c:pt idx="86">
                  <c:v>233.64724974684938</c:v>
                </c:pt>
                <c:pt idx="87">
                  <c:v>233.64724974684938</c:v>
                </c:pt>
                <c:pt idx="88">
                  <c:v>233.64724974684938</c:v>
                </c:pt>
                <c:pt idx="89">
                  <c:v>233.64724974684938</c:v>
                </c:pt>
                <c:pt idx="90">
                  <c:v>233.64724974684938</c:v>
                </c:pt>
                <c:pt idx="91">
                  <c:v>233.64724974684938</c:v>
                </c:pt>
                <c:pt idx="92">
                  <c:v>233.64724974684938</c:v>
                </c:pt>
                <c:pt idx="93">
                  <c:v>233.64724974684938</c:v>
                </c:pt>
                <c:pt idx="94">
                  <c:v>233.64724974684938</c:v>
                </c:pt>
                <c:pt idx="95">
                  <c:v>233.64724974684938</c:v>
                </c:pt>
              </c:numCache>
            </c:numRef>
          </c:val>
        </c:ser>
        <c:dLbls/>
        <c:marker val="1"/>
        <c:axId val="106738816"/>
        <c:axId val="106740352"/>
      </c:lineChart>
      <c:lineChart>
        <c:grouping val="standard"/>
        <c:ser>
          <c:idx val="1"/>
          <c:order val="1"/>
          <c:tx>
            <c:v>Unemployment Insurance (right scale)</c:v>
          </c:tx>
          <c:spPr>
            <a:ln w="38100">
              <a:solidFill>
                <a:srgbClr val="FF0000"/>
              </a:solidFill>
            </a:ln>
          </c:spPr>
          <c:marker>
            <c:symbol val="none"/>
          </c:marker>
          <c:cat>
            <c:numRef>
              <c:f>UIBen!$A$41:$A$136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UIBen!$K$41:$K$136</c:f>
              <c:numCache>
                <c:formatCode>0.00</c:formatCode>
                <c:ptCount val="96"/>
                <c:pt idx="0">
                  <c:v>1169.0249999999999</c:v>
                </c:pt>
                <c:pt idx="1">
                  <c:v>1169.0249999999999</c:v>
                </c:pt>
                <c:pt idx="2">
                  <c:v>1169.0249999999999</c:v>
                </c:pt>
                <c:pt idx="3">
                  <c:v>1169.0249999999999</c:v>
                </c:pt>
                <c:pt idx="4">
                  <c:v>1169.0249999999999</c:v>
                </c:pt>
                <c:pt idx="5">
                  <c:v>1169.0249999999999</c:v>
                </c:pt>
                <c:pt idx="6">
                  <c:v>1169.0249999999999</c:v>
                </c:pt>
                <c:pt idx="7">
                  <c:v>1169.0249999999999</c:v>
                </c:pt>
                <c:pt idx="8">
                  <c:v>1169.0249999999999</c:v>
                </c:pt>
                <c:pt idx="9">
                  <c:v>1169.0249999999999</c:v>
                </c:pt>
                <c:pt idx="10">
                  <c:v>1169.0249999999999</c:v>
                </c:pt>
                <c:pt idx="11">
                  <c:v>1169.0249999999999</c:v>
                </c:pt>
                <c:pt idx="12">
                  <c:v>1169.0249999999999</c:v>
                </c:pt>
                <c:pt idx="13">
                  <c:v>1169.0249999999999</c:v>
                </c:pt>
                <c:pt idx="14">
                  <c:v>1169.0249999999999</c:v>
                </c:pt>
                <c:pt idx="15">
                  <c:v>1169.0249999999999</c:v>
                </c:pt>
                <c:pt idx="16">
                  <c:v>1169.0249999999999</c:v>
                </c:pt>
                <c:pt idx="17">
                  <c:v>1169.0249999999999</c:v>
                </c:pt>
                <c:pt idx="18">
                  <c:v>1169.0249999999999</c:v>
                </c:pt>
                <c:pt idx="19">
                  <c:v>1169.0249999999999</c:v>
                </c:pt>
                <c:pt idx="20">
                  <c:v>1169.0249999999999</c:v>
                </c:pt>
                <c:pt idx="21">
                  <c:v>1169.0249999999999</c:v>
                </c:pt>
                <c:pt idx="22">
                  <c:v>1169.0249999999999</c:v>
                </c:pt>
                <c:pt idx="23">
                  <c:v>1169.0249999999999</c:v>
                </c:pt>
                <c:pt idx="24">
                  <c:v>1169.0249999999999</c:v>
                </c:pt>
                <c:pt idx="25">
                  <c:v>1169.0249999999999</c:v>
                </c:pt>
                <c:pt idx="26">
                  <c:v>1169.0249999999999</c:v>
                </c:pt>
                <c:pt idx="27">
                  <c:v>1477.8199353686211</c:v>
                </c:pt>
                <c:pt idx="28">
                  <c:v>1477.8199353686211</c:v>
                </c:pt>
                <c:pt idx="29">
                  <c:v>1477.8199353686211</c:v>
                </c:pt>
                <c:pt idx="30">
                  <c:v>1477.8199353686211</c:v>
                </c:pt>
                <c:pt idx="31">
                  <c:v>1477.8199353686211</c:v>
                </c:pt>
                <c:pt idx="32">
                  <c:v>1477.8199353686211</c:v>
                </c:pt>
                <c:pt idx="33">
                  <c:v>1477.8199353686211</c:v>
                </c:pt>
                <c:pt idx="34">
                  <c:v>1477.8199353686211</c:v>
                </c:pt>
                <c:pt idx="35">
                  <c:v>1477.8199353686211</c:v>
                </c:pt>
                <c:pt idx="36">
                  <c:v>1421.3153608015368</c:v>
                </c:pt>
                <c:pt idx="37">
                  <c:v>1421.3153608015368</c:v>
                </c:pt>
                <c:pt idx="38">
                  <c:v>1421.3153608015368</c:v>
                </c:pt>
                <c:pt idx="39">
                  <c:v>1421.3153608015368</c:v>
                </c:pt>
                <c:pt idx="40">
                  <c:v>1421.3153608015368</c:v>
                </c:pt>
                <c:pt idx="41">
                  <c:v>1349.7240250721352</c:v>
                </c:pt>
                <c:pt idx="42">
                  <c:v>1294.5634588114353</c:v>
                </c:pt>
                <c:pt idx="43">
                  <c:v>1294.5634588114353</c:v>
                </c:pt>
                <c:pt idx="44">
                  <c:v>1294.5634588114353</c:v>
                </c:pt>
                <c:pt idx="45">
                  <c:v>1294.5634588114353</c:v>
                </c:pt>
                <c:pt idx="46">
                  <c:v>1294.5634588114353</c:v>
                </c:pt>
                <c:pt idx="47">
                  <c:v>1222.9721230820337</c:v>
                </c:pt>
                <c:pt idx="48">
                  <c:v>1169.0249999999999</c:v>
                </c:pt>
                <c:pt idx="49">
                  <c:v>1169.0249999999999</c:v>
                </c:pt>
                <c:pt idx="50">
                  <c:v>1169.0249999999999</c:v>
                </c:pt>
                <c:pt idx="51">
                  <c:v>1169.0249999999999</c:v>
                </c:pt>
                <c:pt idx="52">
                  <c:v>1169.0249999999999</c:v>
                </c:pt>
                <c:pt idx="53">
                  <c:v>1169.0249999999999</c:v>
                </c:pt>
                <c:pt idx="54">
                  <c:v>1169.0249999999999</c:v>
                </c:pt>
                <c:pt idx="55">
                  <c:v>1169.0249999999999</c:v>
                </c:pt>
                <c:pt idx="56">
                  <c:v>1169.0249999999999</c:v>
                </c:pt>
                <c:pt idx="57">
                  <c:v>1169.0249999999999</c:v>
                </c:pt>
                <c:pt idx="58">
                  <c:v>1169.0249999999999</c:v>
                </c:pt>
                <c:pt idx="59">
                  <c:v>1169.0249999999999</c:v>
                </c:pt>
                <c:pt idx="60">
                  <c:v>1169.0249999999999</c:v>
                </c:pt>
                <c:pt idx="61">
                  <c:v>1169.0249999999999</c:v>
                </c:pt>
                <c:pt idx="62">
                  <c:v>1169.0249999999999</c:v>
                </c:pt>
                <c:pt idx="63">
                  <c:v>1169.0249999999999</c:v>
                </c:pt>
                <c:pt idx="64">
                  <c:v>1169.0249999999999</c:v>
                </c:pt>
                <c:pt idx="65">
                  <c:v>1169.0249999999999</c:v>
                </c:pt>
                <c:pt idx="66">
                  <c:v>1169.0249999999999</c:v>
                </c:pt>
                <c:pt idx="67">
                  <c:v>1169.0249999999999</c:v>
                </c:pt>
                <c:pt idx="68">
                  <c:v>1169.0249999999999</c:v>
                </c:pt>
                <c:pt idx="69">
                  <c:v>1169.0249999999999</c:v>
                </c:pt>
                <c:pt idx="70">
                  <c:v>1169.0249999999999</c:v>
                </c:pt>
                <c:pt idx="71">
                  <c:v>1169.0249999999999</c:v>
                </c:pt>
                <c:pt idx="72">
                  <c:v>1169.0249999999999</c:v>
                </c:pt>
                <c:pt idx="73">
                  <c:v>1169.0249999999999</c:v>
                </c:pt>
                <c:pt idx="74">
                  <c:v>1169.0249999999999</c:v>
                </c:pt>
                <c:pt idx="75">
                  <c:v>1169.0249999999999</c:v>
                </c:pt>
                <c:pt idx="76">
                  <c:v>1169.0249999999999</c:v>
                </c:pt>
                <c:pt idx="77">
                  <c:v>1169.0249999999999</c:v>
                </c:pt>
                <c:pt idx="78">
                  <c:v>1169.0249999999999</c:v>
                </c:pt>
                <c:pt idx="79">
                  <c:v>1169.0249999999999</c:v>
                </c:pt>
                <c:pt idx="80">
                  <c:v>1169.0249999999999</c:v>
                </c:pt>
                <c:pt idx="81">
                  <c:v>1169.0249999999999</c:v>
                </c:pt>
                <c:pt idx="82">
                  <c:v>1169.0249999999999</c:v>
                </c:pt>
                <c:pt idx="83">
                  <c:v>1169.0249999999999</c:v>
                </c:pt>
                <c:pt idx="84">
                  <c:v>1169.0249999999999</c:v>
                </c:pt>
                <c:pt idx="85">
                  <c:v>1169.0249999999999</c:v>
                </c:pt>
                <c:pt idx="86">
                  <c:v>1169.0249999999999</c:v>
                </c:pt>
                <c:pt idx="87">
                  <c:v>1169.0249999999999</c:v>
                </c:pt>
                <c:pt idx="88">
                  <c:v>1169.0249999999999</c:v>
                </c:pt>
                <c:pt idx="89">
                  <c:v>1169.0249999999999</c:v>
                </c:pt>
                <c:pt idx="90">
                  <c:v>1169.0249999999999</c:v>
                </c:pt>
                <c:pt idx="91">
                  <c:v>1169.0249999999999</c:v>
                </c:pt>
                <c:pt idx="92">
                  <c:v>1169.0249999999999</c:v>
                </c:pt>
                <c:pt idx="93">
                  <c:v>1169.0249999999999</c:v>
                </c:pt>
                <c:pt idx="94">
                  <c:v>1169.0249999999999</c:v>
                </c:pt>
                <c:pt idx="95">
                  <c:v>1169.0249999999999</c:v>
                </c:pt>
              </c:numCache>
            </c:numRef>
          </c:val>
        </c:ser>
        <c:dLbls/>
        <c:marker val="1"/>
        <c:axId val="104991360"/>
        <c:axId val="104989440"/>
      </c:lineChart>
      <c:dateAx>
        <c:axId val="106738816"/>
        <c:scaling>
          <c:orientation val="minMax"/>
          <c:max val="40878"/>
        </c:scaling>
        <c:axPos val="b"/>
        <c:numFmt formatCode="yyyy" sourceLinked="0"/>
        <c:tickLblPos val="nextTo"/>
        <c:txPr>
          <a:bodyPr/>
          <a:lstStyle/>
          <a:p>
            <a:pPr>
              <a:defRPr sz="1200"/>
            </a:pPr>
            <a:endParaRPr lang="en-US"/>
          </a:p>
        </c:txPr>
        <c:crossAx val="106740352"/>
        <c:crosses val="autoZero"/>
        <c:auto val="1"/>
        <c:lblOffset val="100"/>
        <c:baseTimeUnit val="months"/>
        <c:majorUnit val="1"/>
        <c:majorTimeUnit val="years"/>
      </c:dateAx>
      <c:valAx>
        <c:axId val="106740352"/>
        <c:scaling>
          <c:orientation val="minMax"/>
          <c:max val="361"/>
          <c:min val="180"/>
        </c:scaling>
        <c:axPos val="l"/>
        <c:title>
          <c:tx>
            <c:rich>
              <a:bodyPr rot="-5400000" vert="horz"/>
              <a:lstStyle/>
              <a:p>
                <a:pPr>
                  <a:defRPr sz="1400"/>
                </a:pPr>
                <a:r>
                  <a:rPr lang="en-US"/>
                  <a:t>Inflation-adjusted $</a:t>
                </a:r>
                <a:r>
                  <a:rPr lang="en-US" baseline="0"/>
                  <a:t> per month</a:t>
                </a:r>
                <a:endParaRPr lang="en-US"/>
              </a:p>
            </c:rich>
          </c:tx>
        </c:title>
        <c:numFmt formatCode="General" sourceLinked="0"/>
        <c:tickLblPos val="nextTo"/>
        <c:txPr>
          <a:bodyPr/>
          <a:lstStyle/>
          <a:p>
            <a:pPr>
              <a:defRPr sz="1200"/>
            </a:pPr>
            <a:endParaRPr lang="en-US"/>
          </a:p>
        </c:txPr>
        <c:crossAx val="106738816"/>
        <c:crosses val="autoZero"/>
        <c:crossBetween val="between"/>
      </c:valAx>
      <c:valAx>
        <c:axId val="104989440"/>
        <c:scaling>
          <c:orientation val="minMax"/>
          <c:max val="1604"/>
          <c:min val="800"/>
        </c:scaling>
        <c:axPos val="r"/>
        <c:title>
          <c:tx>
            <c:rich>
              <a:bodyPr rot="-5400000" vert="horz"/>
              <a:lstStyle/>
              <a:p>
                <a:pPr algn="ctr" rtl="0">
                  <a:defRPr lang="en-US" sz="1400" b="1" i="0" u="none" strike="noStrike" kern="1200" baseline="0">
                    <a:solidFill>
                      <a:sysClr val="windowText" lastClr="000000"/>
                    </a:solidFill>
                    <a:latin typeface="+mn-lt"/>
                    <a:ea typeface="+mn-ea"/>
                    <a:cs typeface="+mn-cs"/>
                  </a:defRPr>
                </a:pPr>
                <a:r>
                  <a:rPr lang="en-US" sz="1400" b="1" i="0" u="none" strike="noStrike" kern="1200" baseline="0">
                    <a:solidFill>
                      <a:sysClr val="windowText" lastClr="000000"/>
                    </a:solidFill>
                    <a:latin typeface="+mn-lt"/>
                    <a:ea typeface="+mn-ea"/>
                    <a:cs typeface="+mn-cs"/>
                  </a:rPr>
                  <a:t>Inflation-adjusted $ per month</a:t>
                </a:r>
              </a:p>
            </c:rich>
          </c:tx>
        </c:title>
        <c:numFmt formatCode="#,##0" sourceLinked="0"/>
        <c:tickLblPos val="nextTo"/>
        <c:txPr>
          <a:bodyPr/>
          <a:lstStyle/>
          <a:p>
            <a:pPr algn="ctr">
              <a:defRPr lang="en-US" sz="1200" b="0" i="0" u="none" strike="noStrike" kern="1200" baseline="0">
                <a:solidFill>
                  <a:sysClr val="windowText" lastClr="000000"/>
                </a:solidFill>
                <a:latin typeface="+mn-lt"/>
                <a:ea typeface="+mn-ea"/>
                <a:cs typeface="+mn-cs"/>
              </a:defRPr>
            </a:pPr>
            <a:endParaRPr lang="en-US"/>
          </a:p>
        </c:txPr>
        <c:crossAx val="104991360"/>
        <c:crosses val="max"/>
        <c:crossBetween val="between"/>
      </c:valAx>
      <c:dateAx>
        <c:axId val="104991360"/>
        <c:scaling>
          <c:orientation val="minMax"/>
        </c:scaling>
        <c:delete val="1"/>
        <c:axPos val="b"/>
        <c:numFmt formatCode="[$-409]mmm\-yy;@" sourceLinked="1"/>
        <c:tickLblPos val="none"/>
        <c:crossAx val="104989440"/>
        <c:crosses val="autoZero"/>
        <c:auto val="1"/>
        <c:lblOffset val="100"/>
        <c:baseTimeUnit val="months"/>
      </c:dateAx>
    </c:plotArea>
    <c:legend>
      <c:legendPos val="r"/>
      <c:layout>
        <c:manualLayout>
          <c:xMode val="edge"/>
          <c:yMode val="edge"/>
          <c:x val="0.49139825251346692"/>
          <c:y val="0.70867337593617763"/>
          <c:w val="0.38513955134050032"/>
          <c:h val="0.20152166944806252"/>
        </c:manualLayout>
      </c:layout>
      <c:txPr>
        <a:bodyPr/>
        <a:lstStyle/>
        <a:p>
          <a:pPr>
            <a:defRPr sz="1400"/>
          </a:pPr>
          <a:endParaRPr lang="en-US"/>
        </a:p>
      </c:txPr>
    </c:legend>
    <c:plotVisOnly val="1"/>
    <c:dispBlanksAs val="gap"/>
  </c:chart>
  <c:spPr>
    <a:ln>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clrMapOvr bg1="lt1" tx1="dk1" bg2="lt2" tx2="dk2" accent1="accent1" accent2="accent2" accent3="accent3" accent4="accent4" accent5="accent5" accent6="accent6" hlink="hlink" folHlink="folHlink"/>
  <c:chart>
    <c:title>
      <c:tx>
        <c:strRef>
          <c:f>OtherElgBen!$K$5</c:f>
          <c:strCache>
            <c:ptCount val="1"/>
            <c:pt idx="0">
              <c:v>Figure 3.4.  Statutory Government Safety Net Generosity</c:v>
            </c:pt>
          </c:strCache>
        </c:strRef>
      </c:tx>
      <c:overlay val="1"/>
      <c:txPr>
        <a:bodyPr/>
        <a:lstStyle/>
        <a:p>
          <a:pPr>
            <a:defRPr/>
          </a:pPr>
          <a:endParaRPr lang="en-US"/>
        </a:p>
      </c:txPr>
    </c:title>
    <c:plotArea>
      <c:layout>
        <c:manualLayout>
          <c:layoutTarget val="inner"/>
          <c:xMode val="edge"/>
          <c:yMode val="edge"/>
          <c:x val="9.4185166002213244E-2"/>
          <c:y val="6.8013555488847299E-2"/>
          <c:w val="0.84492079921790919"/>
          <c:h val="0.85661782476188564"/>
        </c:manualLayout>
      </c:layout>
      <c:lineChart>
        <c:grouping val="standard"/>
        <c:ser>
          <c:idx val="1"/>
          <c:order val="0"/>
          <c:tx>
            <c:strRef>
              <c:f>GovGener!$H$25</c:f>
              <c:strCache>
                <c:ptCount val="1"/>
                <c:pt idx="0">
                  <c:v>Unemployed</c:v>
                </c:pt>
              </c:strCache>
            </c:strRef>
          </c:tx>
          <c:spPr>
            <a:ln w="38100">
              <a:solidFill>
                <a:srgbClr val="FF0000"/>
              </a:solidFill>
            </a:ln>
          </c:spPr>
          <c:marker>
            <c:symbol val="none"/>
          </c:marker>
          <c:cat>
            <c:numRef>
              <c:f>GovGener!$A$41:$A$136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GovGener!$H$41:$H$136</c:f>
              <c:numCache>
                <c:formatCode>#,##0</c:formatCode>
                <c:ptCount val="96"/>
                <c:pt idx="0">
                  <c:v>852.81995781648504</c:v>
                </c:pt>
                <c:pt idx="1">
                  <c:v>852.46581518631558</c:v>
                </c:pt>
                <c:pt idx="2">
                  <c:v>852.08432418988457</c:v>
                </c:pt>
                <c:pt idx="3">
                  <c:v>851.86447159465649</c:v>
                </c:pt>
                <c:pt idx="4">
                  <c:v>851.58180117784298</c:v>
                </c:pt>
                <c:pt idx="5">
                  <c:v>852.3189634422032</c:v>
                </c:pt>
                <c:pt idx="6">
                  <c:v>852.15191492388442</c:v>
                </c:pt>
                <c:pt idx="7">
                  <c:v>852.08155426924293</c:v>
                </c:pt>
                <c:pt idx="8">
                  <c:v>851.70279878892541</c:v>
                </c:pt>
                <c:pt idx="9">
                  <c:v>857.08114275651349</c:v>
                </c:pt>
                <c:pt idx="10">
                  <c:v>856.52295268300043</c:v>
                </c:pt>
                <c:pt idx="11">
                  <c:v>856.20670227557605</c:v>
                </c:pt>
                <c:pt idx="12">
                  <c:v>858.70644771454738</c:v>
                </c:pt>
                <c:pt idx="13">
                  <c:v>858.47318959980987</c:v>
                </c:pt>
                <c:pt idx="14">
                  <c:v>859.50259878068175</c:v>
                </c:pt>
                <c:pt idx="15">
                  <c:v>859.16837211629229</c:v>
                </c:pt>
                <c:pt idx="16">
                  <c:v>858.73752002977415</c:v>
                </c:pt>
                <c:pt idx="17">
                  <c:v>858.09689719323717</c:v>
                </c:pt>
                <c:pt idx="18">
                  <c:v>990.9576905307166</c:v>
                </c:pt>
                <c:pt idx="19">
                  <c:v>991.04387762826821</c:v>
                </c:pt>
                <c:pt idx="20">
                  <c:v>990.92026273465069</c:v>
                </c:pt>
                <c:pt idx="21">
                  <c:v>1008.3294279722385</c:v>
                </c:pt>
                <c:pt idx="22">
                  <c:v>1009.7919536692463</c:v>
                </c:pt>
                <c:pt idx="23">
                  <c:v>1064.8297506179106</c:v>
                </c:pt>
                <c:pt idx="24">
                  <c:v>1064.742987340423</c:v>
                </c:pt>
                <c:pt idx="25">
                  <c:v>1064.3821198987298</c:v>
                </c:pt>
                <c:pt idx="26">
                  <c:v>1064.6550439566149</c:v>
                </c:pt>
                <c:pt idx="27">
                  <c:v>1308.2733772043866</c:v>
                </c:pt>
                <c:pt idx="28">
                  <c:v>1308.3436045625906</c:v>
                </c:pt>
                <c:pt idx="29">
                  <c:v>1308.5959673341354</c:v>
                </c:pt>
                <c:pt idx="30">
                  <c:v>1316.2069550305932</c:v>
                </c:pt>
                <c:pt idx="31">
                  <c:v>1318.1500809265808</c:v>
                </c:pt>
                <c:pt idx="32">
                  <c:v>1317.8849680551514</c:v>
                </c:pt>
                <c:pt idx="33">
                  <c:v>1317.3976134331972</c:v>
                </c:pt>
                <c:pt idx="34">
                  <c:v>1317.1006230030566</c:v>
                </c:pt>
                <c:pt idx="35">
                  <c:v>1340.1778177098377</c:v>
                </c:pt>
                <c:pt idx="36">
                  <c:v>1304.0867314632587</c:v>
                </c:pt>
                <c:pt idx="37">
                  <c:v>1304.8527807415626</c:v>
                </c:pt>
                <c:pt idx="38">
                  <c:v>1307.0081276103881</c:v>
                </c:pt>
                <c:pt idx="39">
                  <c:v>1309.0875062750545</c:v>
                </c:pt>
                <c:pt idx="40">
                  <c:v>1309.1665909226806</c:v>
                </c:pt>
                <c:pt idx="41">
                  <c:v>1266.3842041466737</c:v>
                </c:pt>
                <c:pt idx="42">
                  <c:v>1236.4488585224933</c:v>
                </c:pt>
                <c:pt idx="43">
                  <c:v>1236.1845907443935</c:v>
                </c:pt>
                <c:pt idx="44">
                  <c:v>1235.9961384746587</c:v>
                </c:pt>
                <c:pt idx="45">
                  <c:v>1235.6424922022152</c:v>
                </c:pt>
                <c:pt idx="46">
                  <c:v>1235.5152025506679</c:v>
                </c:pt>
                <c:pt idx="47">
                  <c:v>1189.8563208013882</c:v>
                </c:pt>
                <c:pt idx="48">
                  <c:v>1155.976127819019</c:v>
                </c:pt>
                <c:pt idx="49">
                  <c:v>1155.3285370859758</c:v>
                </c:pt>
                <c:pt idx="50">
                  <c:v>1154.6875007957326</c:v>
                </c:pt>
                <c:pt idx="51">
                  <c:v>1154.1380035391539</c:v>
                </c:pt>
                <c:pt idx="52">
                  <c:v>1153.8547562923484</c:v>
                </c:pt>
                <c:pt idx="53">
                  <c:v>1154.0571764894576</c:v>
                </c:pt>
                <c:pt idx="54">
                  <c:v>1153.4683202660776</c:v>
                </c:pt>
                <c:pt idx="55">
                  <c:v>1153.0333442300459</c:v>
                </c:pt>
                <c:pt idx="56">
                  <c:v>1152.7679096499724</c:v>
                </c:pt>
                <c:pt idx="57">
                  <c:v>1153.6640493226757</c:v>
                </c:pt>
                <c:pt idx="58">
                  <c:v>1153.5225297014031</c:v>
                </c:pt>
                <c:pt idx="59">
                  <c:v>1153.4134078190946</c:v>
                </c:pt>
                <c:pt idx="60">
                  <c:v>1153.0521290161814</c:v>
                </c:pt>
                <c:pt idx="61">
                  <c:v>1152.5554261378786</c:v>
                </c:pt>
                <c:pt idx="62">
                  <c:v>1152.5554261378786</c:v>
                </c:pt>
                <c:pt idx="63">
                  <c:v>1152.5554261378786</c:v>
                </c:pt>
                <c:pt idx="64">
                  <c:v>1152.5554261378786</c:v>
                </c:pt>
                <c:pt idx="65">
                  <c:v>1143.7086734451022</c:v>
                </c:pt>
                <c:pt idx="66">
                  <c:v>1143.7086734451022</c:v>
                </c:pt>
                <c:pt idx="67">
                  <c:v>1143.7086734451022</c:v>
                </c:pt>
                <c:pt idx="68">
                  <c:v>1134.2305240173303</c:v>
                </c:pt>
                <c:pt idx="69">
                  <c:v>1130.5356756104563</c:v>
                </c:pt>
                <c:pt idx="70">
                  <c:v>1130.5356756104563</c:v>
                </c:pt>
                <c:pt idx="71">
                  <c:v>1130.5356756104563</c:v>
                </c:pt>
                <c:pt idx="72">
                  <c:v>1073.5490577200696</c:v>
                </c:pt>
                <c:pt idx="73">
                  <c:v>1073.5490577200696</c:v>
                </c:pt>
                <c:pt idx="74">
                  <c:v>1073.5490577200696</c:v>
                </c:pt>
                <c:pt idx="75">
                  <c:v>1073.5490577200696</c:v>
                </c:pt>
                <c:pt idx="76">
                  <c:v>1073.5490577200696</c:v>
                </c:pt>
                <c:pt idx="77">
                  <c:v>1073.5490577200696</c:v>
                </c:pt>
                <c:pt idx="78">
                  <c:v>1073.5490577200696</c:v>
                </c:pt>
                <c:pt idx="79">
                  <c:v>1073.5490577200696</c:v>
                </c:pt>
                <c:pt idx="80">
                  <c:v>1073.5490577200696</c:v>
                </c:pt>
                <c:pt idx="81">
                  <c:v>1073.5490577200696</c:v>
                </c:pt>
                <c:pt idx="82">
                  <c:v>1073.5490577200696</c:v>
                </c:pt>
                <c:pt idx="83">
                  <c:v>1073.5490577200696</c:v>
                </c:pt>
                <c:pt idx="84">
                  <c:v>979.74022443468982</c:v>
                </c:pt>
                <c:pt idx="85">
                  <c:v>979.74022443468982</c:v>
                </c:pt>
                <c:pt idx="86">
                  <c:v>979.74022443468982</c:v>
                </c:pt>
                <c:pt idx="87">
                  <c:v>979.74022443468982</c:v>
                </c:pt>
                <c:pt idx="88">
                  <c:v>979.74022443468982</c:v>
                </c:pt>
                <c:pt idx="89">
                  <c:v>979.74022443468982</c:v>
                </c:pt>
                <c:pt idx="90">
                  <c:v>979.74022443468982</c:v>
                </c:pt>
                <c:pt idx="91">
                  <c:v>979.74022443468982</c:v>
                </c:pt>
                <c:pt idx="92">
                  <c:v>979.74022443468982</c:v>
                </c:pt>
                <c:pt idx="93">
                  <c:v>979.74022443468982</c:v>
                </c:pt>
                <c:pt idx="94">
                  <c:v>979.74022443468982</c:v>
                </c:pt>
                <c:pt idx="95">
                  <c:v>979.74022443468982</c:v>
                </c:pt>
              </c:numCache>
            </c:numRef>
          </c:val>
        </c:ser>
        <c:ser>
          <c:idx val="2"/>
          <c:order val="1"/>
          <c:tx>
            <c:strRef>
              <c:f>GovGener!$I$25</c:f>
              <c:strCache>
                <c:ptCount val="1"/>
                <c:pt idx="0">
                  <c:v>Out of the Labor Force</c:v>
                </c:pt>
              </c:strCache>
            </c:strRef>
          </c:tx>
          <c:spPr>
            <a:ln w="38100">
              <a:solidFill>
                <a:sysClr val="windowText" lastClr="000000">
                  <a:lumMod val="50000"/>
                  <a:lumOff val="50000"/>
                </a:sysClr>
              </a:solidFill>
            </a:ln>
          </c:spPr>
          <c:marker>
            <c:symbol val="none"/>
          </c:marker>
          <c:cat>
            <c:numRef>
              <c:f>GovGener!$A$41:$A$136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GovGener!$I$41:$I$136</c:f>
              <c:numCache>
                <c:formatCode>#,##0</c:formatCode>
                <c:ptCount val="96"/>
                <c:pt idx="0">
                  <c:v>484.3124907223276</c:v>
                </c:pt>
                <c:pt idx="1">
                  <c:v>484.01342105186188</c:v>
                </c:pt>
                <c:pt idx="2">
                  <c:v>483.69125597805032</c:v>
                </c:pt>
                <c:pt idx="3">
                  <c:v>483.50559280845539</c:v>
                </c:pt>
                <c:pt idx="4">
                  <c:v>483.26688065915448</c:v>
                </c:pt>
                <c:pt idx="5">
                  <c:v>483.88940632170068</c:v>
                </c:pt>
                <c:pt idx="6">
                  <c:v>483.74833563133632</c:v>
                </c:pt>
                <c:pt idx="7">
                  <c:v>483.68891680963918</c:v>
                </c:pt>
                <c:pt idx="8">
                  <c:v>483.36906184998213</c:v>
                </c:pt>
                <c:pt idx="9">
                  <c:v>487.91101591314896</c:v>
                </c:pt>
                <c:pt idx="10">
                  <c:v>487.43963035512388</c:v>
                </c:pt>
                <c:pt idx="11">
                  <c:v>487.17256026224118</c:v>
                </c:pt>
                <c:pt idx="12">
                  <c:v>489.28356859897838</c:v>
                </c:pt>
                <c:pt idx="13">
                  <c:v>489.08658461127084</c:v>
                </c:pt>
                <c:pt idx="14">
                  <c:v>489.95590967487738</c:v>
                </c:pt>
                <c:pt idx="15">
                  <c:v>489.67365882489651</c:v>
                </c:pt>
                <c:pt idx="16">
                  <c:v>489.30980883746946</c:v>
                </c:pt>
                <c:pt idx="17">
                  <c:v>488.76880969109629</c:v>
                </c:pt>
                <c:pt idx="18">
                  <c:v>488.30391699461427</c:v>
                </c:pt>
                <c:pt idx="19">
                  <c:v>488.37670107839119</c:v>
                </c:pt>
                <c:pt idx="20">
                  <c:v>488.2723096204038</c:v>
                </c:pt>
                <c:pt idx="21">
                  <c:v>502.97416380892741</c:v>
                </c:pt>
                <c:pt idx="22">
                  <c:v>504.20925114659894</c:v>
                </c:pt>
                <c:pt idx="23">
                  <c:v>504.73284027594696</c:v>
                </c:pt>
                <c:pt idx="24">
                  <c:v>504.65956961436552</c:v>
                </c:pt>
                <c:pt idx="25">
                  <c:v>504.35482091235963</c:v>
                </c:pt>
                <c:pt idx="26">
                  <c:v>504.58530236559466</c:v>
                </c:pt>
                <c:pt idx="27">
                  <c:v>522.14860644688918</c:v>
                </c:pt>
                <c:pt idx="28">
                  <c:v>522.20791270116786</c:v>
                </c:pt>
                <c:pt idx="29">
                  <c:v>522.42103036759397</c:v>
                </c:pt>
                <c:pt idx="30">
                  <c:v>528.8484282248088</c:v>
                </c:pt>
                <c:pt idx="31">
                  <c:v>530.48937729978661</c:v>
                </c:pt>
                <c:pt idx="32">
                  <c:v>530.26549231012359</c:v>
                </c:pt>
                <c:pt idx="33">
                  <c:v>529.85392653472377</c:v>
                </c:pt>
                <c:pt idx="34">
                  <c:v>529.60312128704379</c:v>
                </c:pt>
                <c:pt idx="35">
                  <c:v>529.52865168946801</c:v>
                </c:pt>
                <c:pt idx="36">
                  <c:v>529.21080259078974</c:v>
                </c:pt>
                <c:pt idx="37">
                  <c:v>529.85772302822284</c:v>
                </c:pt>
                <c:pt idx="38">
                  <c:v>531.6778904491598</c:v>
                </c:pt>
                <c:pt idx="39">
                  <c:v>533.43390353269626</c:v>
                </c:pt>
                <c:pt idx="40">
                  <c:v>533.50068967333436</c:v>
                </c:pt>
                <c:pt idx="41">
                  <c:v>535.58503361071746</c:v>
                </c:pt>
                <c:pt idx="42">
                  <c:v>539.74824470075623</c:v>
                </c:pt>
                <c:pt idx="43">
                  <c:v>539.5250733833883</c:v>
                </c:pt>
                <c:pt idx="44">
                  <c:v>539.36592745345285</c:v>
                </c:pt>
                <c:pt idx="45">
                  <c:v>539.06727695178756</c:v>
                </c:pt>
                <c:pt idx="46">
                  <c:v>538.95978219995902</c:v>
                </c:pt>
                <c:pt idx="47">
                  <c:v>538.61495684094325</c:v>
                </c:pt>
                <c:pt idx="48">
                  <c:v>538.79908170620558</c:v>
                </c:pt>
                <c:pt idx="49">
                  <c:v>538.25219824561998</c:v>
                </c:pt>
                <c:pt idx="50">
                  <c:v>537.71084994200589</c:v>
                </c:pt>
                <c:pt idx="51">
                  <c:v>537.24680537508016</c:v>
                </c:pt>
                <c:pt idx="52">
                  <c:v>537.00760609900885</c:v>
                </c:pt>
                <c:pt idx="53">
                  <c:v>537.1785477944951</c:v>
                </c:pt>
                <c:pt idx="54">
                  <c:v>536.68126500028927</c:v>
                </c:pt>
                <c:pt idx="55">
                  <c:v>536.31393238152407</c:v>
                </c:pt>
                <c:pt idx="56">
                  <c:v>536.08977571234573</c:v>
                </c:pt>
                <c:pt idx="57">
                  <c:v>536.84655609904632</c:v>
                </c:pt>
                <c:pt idx="58">
                  <c:v>536.72704428969928</c:v>
                </c:pt>
                <c:pt idx="59">
                  <c:v>536.63489202503956</c:v>
                </c:pt>
                <c:pt idx="60">
                  <c:v>536.32979593287519</c:v>
                </c:pt>
                <c:pt idx="61">
                  <c:v>535.91033565478779</c:v>
                </c:pt>
                <c:pt idx="62">
                  <c:v>535.91033565478779</c:v>
                </c:pt>
                <c:pt idx="63">
                  <c:v>535.91033565478779</c:v>
                </c:pt>
                <c:pt idx="64">
                  <c:v>535.91033565478779</c:v>
                </c:pt>
                <c:pt idx="65">
                  <c:v>535.91033565478779</c:v>
                </c:pt>
                <c:pt idx="66">
                  <c:v>535.91033565478779</c:v>
                </c:pt>
                <c:pt idx="67">
                  <c:v>535.91033565478779</c:v>
                </c:pt>
                <c:pt idx="68">
                  <c:v>535.91033565478779</c:v>
                </c:pt>
                <c:pt idx="69">
                  <c:v>532.7900756201899</c:v>
                </c:pt>
                <c:pt idx="70">
                  <c:v>532.7900756201899</c:v>
                </c:pt>
                <c:pt idx="71">
                  <c:v>532.7900756201899</c:v>
                </c:pt>
                <c:pt idx="72">
                  <c:v>532.7900756201899</c:v>
                </c:pt>
                <c:pt idx="73">
                  <c:v>532.7900756201899</c:v>
                </c:pt>
                <c:pt idx="74">
                  <c:v>532.7900756201899</c:v>
                </c:pt>
                <c:pt idx="75">
                  <c:v>532.7900756201899</c:v>
                </c:pt>
                <c:pt idx="76">
                  <c:v>532.7900756201899</c:v>
                </c:pt>
                <c:pt idx="77">
                  <c:v>532.7900756201899</c:v>
                </c:pt>
                <c:pt idx="78">
                  <c:v>532.7900756201899</c:v>
                </c:pt>
                <c:pt idx="79">
                  <c:v>532.7900756201899</c:v>
                </c:pt>
                <c:pt idx="80">
                  <c:v>532.7900756201899</c:v>
                </c:pt>
                <c:pt idx="81">
                  <c:v>532.7900756201899</c:v>
                </c:pt>
                <c:pt idx="82">
                  <c:v>532.7900756201899</c:v>
                </c:pt>
                <c:pt idx="83">
                  <c:v>532.7900756201899</c:v>
                </c:pt>
                <c:pt idx="84">
                  <c:v>578.69030558731879</c:v>
                </c:pt>
                <c:pt idx="85">
                  <c:v>578.69030558731879</c:v>
                </c:pt>
                <c:pt idx="86">
                  <c:v>578.69030558731879</c:v>
                </c:pt>
                <c:pt idx="87">
                  <c:v>578.69030558731879</c:v>
                </c:pt>
                <c:pt idx="88">
                  <c:v>578.69030558731879</c:v>
                </c:pt>
                <c:pt idx="89">
                  <c:v>578.69030558731879</c:v>
                </c:pt>
                <c:pt idx="90">
                  <c:v>578.69030558731879</c:v>
                </c:pt>
                <c:pt idx="91">
                  <c:v>578.69030558731879</c:v>
                </c:pt>
                <c:pt idx="92">
                  <c:v>578.69030558731879</c:v>
                </c:pt>
                <c:pt idx="93">
                  <c:v>578.69030558731879</c:v>
                </c:pt>
                <c:pt idx="94">
                  <c:v>578.69030558731879</c:v>
                </c:pt>
                <c:pt idx="95">
                  <c:v>578.69030558731879</c:v>
                </c:pt>
              </c:numCache>
            </c:numRef>
          </c:val>
        </c:ser>
        <c:ser>
          <c:idx val="3"/>
          <c:order val="2"/>
          <c:tx>
            <c:strRef>
              <c:f>GovGener!$J$25</c:f>
              <c:strCache>
                <c:ptCount val="1"/>
                <c:pt idx="0">
                  <c:v>Under-employed</c:v>
                </c:pt>
              </c:strCache>
            </c:strRef>
          </c:tx>
          <c:spPr>
            <a:ln w="38100">
              <a:solidFill>
                <a:sysClr val="windowText" lastClr="000000"/>
              </a:solidFill>
            </a:ln>
          </c:spPr>
          <c:marker>
            <c:symbol val="none"/>
          </c:marker>
          <c:cat>
            <c:numRef>
              <c:f>GovGener!$A$41:$A$136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GovGener!$J$41:$J$136</c:f>
              <c:numCache>
                <c:formatCode>#,##0</c:formatCode>
                <c:ptCount val="96"/>
                <c:pt idx="0">
                  <c:v>352.55323621990021</c:v>
                </c:pt>
                <c:pt idx="1">
                  <c:v>352.19909358973092</c:v>
                </c:pt>
                <c:pt idx="2">
                  <c:v>351.81760259329985</c:v>
                </c:pt>
                <c:pt idx="3">
                  <c:v>351.59774999807166</c:v>
                </c:pt>
                <c:pt idx="4">
                  <c:v>351.31507958125837</c:v>
                </c:pt>
                <c:pt idx="5">
                  <c:v>352.05224184561848</c:v>
                </c:pt>
                <c:pt idx="6">
                  <c:v>351.88519332729959</c:v>
                </c:pt>
                <c:pt idx="7">
                  <c:v>351.8148326726581</c:v>
                </c:pt>
                <c:pt idx="8">
                  <c:v>351.43607719234069</c:v>
                </c:pt>
                <c:pt idx="9">
                  <c:v>356.81442115992871</c:v>
                </c:pt>
                <c:pt idx="10">
                  <c:v>356.2562310864156</c:v>
                </c:pt>
                <c:pt idx="11">
                  <c:v>355.93998067899133</c:v>
                </c:pt>
                <c:pt idx="12">
                  <c:v>358.43972611796266</c:v>
                </c:pt>
                <c:pt idx="13">
                  <c:v>358.20646800322527</c:v>
                </c:pt>
                <c:pt idx="14">
                  <c:v>359.23587718409692</c:v>
                </c:pt>
                <c:pt idx="15">
                  <c:v>358.90165051970769</c:v>
                </c:pt>
                <c:pt idx="16">
                  <c:v>358.47079843318949</c:v>
                </c:pt>
                <c:pt idx="17">
                  <c:v>357.83017559665251</c:v>
                </c:pt>
                <c:pt idx="18">
                  <c:v>357.27967402950185</c:v>
                </c:pt>
                <c:pt idx="19">
                  <c:v>357.36586112705368</c:v>
                </c:pt>
                <c:pt idx="20">
                  <c:v>357.24224623343611</c:v>
                </c:pt>
                <c:pt idx="21">
                  <c:v>374.65141147102389</c:v>
                </c:pt>
                <c:pt idx="22">
                  <c:v>376.11393716803161</c:v>
                </c:pt>
                <c:pt idx="23">
                  <c:v>376.73394397482889</c:v>
                </c:pt>
                <c:pt idx="24">
                  <c:v>376.64718069734135</c:v>
                </c:pt>
                <c:pt idx="25">
                  <c:v>376.286313255648</c:v>
                </c:pt>
                <c:pt idx="26">
                  <c:v>376.55923731353317</c:v>
                </c:pt>
                <c:pt idx="27">
                  <c:v>397.35678155172451</c:v>
                </c:pt>
                <c:pt idx="28">
                  <c:v>397.42700890992842</c:v>
                </c:pt>
                <c:pt idx="29">
                  <c:v>397.67937168147307</c:v>
                </c:pt>
                <c:pt idx="30">
                  <c:v>405.29035937793094</c:v>
                </c:pt>
                <c:pt idx="31">
                  <c:v>407.23348527391869</c:v>
                </c:pt>
                <c:pt idx="32">
                  <c:v>406.96837240248908</c:v>
                </c:pt>
                <c:pt idx="33">
                  <c:v>406.48101778053501</c:v>
                </c:pt>
                <c:pt idx="34">
                  <c:v>406.18402735039433</c:v>
                </c:pt>
                <c:pt idx="35">
                  <c:v>406.09584435573612</c:v>
                </c:pt>
                <c:pt idx="36">
                  <c:v>405.71946411086685</c:v>
                </c:pt>
                <c:pt idx="37">
                  <c:v>406.48551338917065</c:v>
                </c:pt>
                <c:pt idx="38">
                  <c:v>408.64086025799628</c:v>
                </c:pt>
                <c:pt idx="39">
                  <c:v>410.72023892266259</c:v>
                </c:pt>
                <c:pt idx="40">
                  <c:v>410.79932357028872</c:v>
                </c:pt>
                <c:pt idx="41">
                  <c:v>413.2674944249685</c:v>
                </c:pt>
                <c:pt idx="42">
                  <c:v>418.19735081288053</c:v>
                </c:pt>
                <c:pt idx="43">
                  <c:v>417.93308303478079</c:v>
                </c:pt>
                <c:pt idx="44">
                  <c:v>417.74463076504605</c:v>
                </c:pt>
                <c:pt idx="45">
                  <c:v>417.39098449260257</c:v>
                </c:pt>
                <c:pt idx="46">
                  <c:v>417.26369484105527</c:v>
                </c:pt>
                <c:pt idx="47">
                  <c:v>416.855370722462</c:v>
                </c:pt>
                <c:pt idx="48">
                  <c:v>417.07340173831864</c:v>
                </c:pt>
                <c:pt idx="49">
                  <c:v>416.42581100527548</c:v>
                </c:pt>
                <c:pt idx="50">
                  <c:v>415.78477471503237</c:v>
                </c:pt>
                <c:pt idx="51">
                  <c:v>415.23527745845365</c:v>
                </c:pt>
                <c:pt idx="52">
                  <c:v>414.95203021164809</c:v>
                </c:pt>
                <c:pt idx="53">
                  <c:v>415.15445040875738</c:v>
                </c:pt>
                <c:pt idx="54">
                  <c:v>414.56559418537734</c:v>
                </c:pt>
                <c:pt idx="55">
                  <c:v>414.13061814934559</c:v>
                </c:pt>
                <c:pt idx="56">
                  <c:v>413.86518356927218</c:v>
                </c:pt>
                <c:pt idx="57">
                  <c:v>414.76132324197545</c:v>
                </c:pt>
                <c:pt idx="58">
                  <c:v>414.61980362070278</c:v>
                </c:pt>
                <c:pt idx="59">
                  <c:v>414.51068173839417</c:v>
                </c:pt>
                <c:pt idx="60">
                  <c:v>414.14940293548113</c:v>
                </c:pt>
                <c:pt idx="61">
                  <c:v>413.65270005717838</c:v>
                </c:pt>
                <c:pt idx="62">
                  <c:v>413.65270005717838</c:v>
                </c:pt>
                <c:pt idx="63">
                  <c:v>413.65270005717838</c:v>
                </c:pt>
                <c:pt idx="64">
                  <c:v>413.65270005717838</c:v>
                </c:pt>
                <c:pt idx="65">
                  <c:v>413.65270005717838</c:v>
                </c:pt>
                <c:pt idx="66">
                  <c:v>413.65270005717838</c:v>
                </c:pt>
                <c:pt idx="67">
                  <c:v>413.65270005717838</c:v>
                </c:pt>
                <c:pt idx="68">
                  <c:v>413.65270005717838</c:v>
                </c:pt>
                <c:pt idx="69">
                  <c:v>409.95785165030463</c:v>
                </c:pt>
                <c:pt idx="70">
                  <c:v>409.95785165030463</c:v>
                </c:pt>
                <c:pt idx="71">
                  <c:v>409.95785165030463</c:v>
                </c:pt>
                <c:pt idx="72">
                  <c:v>409.95785165030463</c:v>
                </c:pt>
                <c:pt idx="73">
                  <c:v>409.95785165030463</c:v>
                </c:pt>
                <c:pt idx="74">
                  <c:v>409.95785165030463</c:v>
                </c:pt>
                <c:pt idx="75">
                  <c:v>409.95785165030463</c:v>
                </c:pt>
                <c:pt idx="76">
                  <c:v>409.95785165030463</c:v>
                </c:pt>
                <c:pt idx="77">
                  <c:v>409.95785165030463</c:v>
                </c:pt>
                <c:pt idx="78">
                  <c:v>409.95785165030463</c:v>
                </c:pt>
                <c:pt idx="79">
                  <c:v>409.95785165030463</c:v>
                </c:pt>
                <c:pt idx="80">
                  <c:v>409.95785165030463</c:v>
                </c:pt>
                <c:pt idx="81">
                  <c:v>409.95785165030463</c:v>
                </c:pt>
                <c:pt idx="82">
                  <c:v>409.95785165030463</c:v>
                </c:pt>
                <c:pt idx="83">
                  <c:v>409.95785165030463</c:v>
                </c:pt>
                <c:pt idx="84">
                  <c:v>455.85808161743353</c:v>
                </c:pt>
                <c:pt idx="85">
                  <c:v>455.85808161743353</c:v>
                </c:pt>
                <c:pt idx="86">
                  <c:v>455.85808161743353</c:v>
                </c:pt>
                <c:pt idx="87">
                  <c:v>455.85808161743353</c:v>
                </c:pt>
                <c:pt idx="88">
                  <c:v>455.85808161743353</c:v>
                </c:pt>
                <c:pt idx="89">
                  <c:v>455.85808161743353</c:v>
                </c:pt>
                <c:pt idx="90">
                  <c:v>455.85808161743353</c:v>
                </c:pt>
                <c:pt idx="91">
                  <c:v>455.85808161743353</c:v>
                </c:pt>
                <c:pt idx="92">
                  <c:v>455.85808161743353</c:v>
                </c:pt>
                <c:pt idx="93">
                  <c:v>455.85808161743353</c:v>
                </c:pt>
                <c:pt idx="94">
                  <c:v>455.85808161743353</c:v>
                </c:pt>
                <c:pt idx="95">
                  <c:v>455.85808161743353</c:v>
                </c:pt>
              </c:numCache>
            </c:numRef>
          </c:val>
        </c:ser>
        <c:dLbls/>
        <c:marker val="1"/>
        <c:axId val="106733568"/>
        <c:axId val="106735104"/>
      </c:lineChart>
      <c:dateAx>
        <c:axId val="106733568"/>
        <c:scaling>
          <c:orientation val="minMax"/>
          <c:max val="40878"/>
        </c:scaling>
        <c:axPos val="b"/>
        <c:numFmt formatCode="yyyy" sourceLinked="0"/>
        <c:tickLblPos val="nextTo"/>
        <c:txPr>
          <a:bodyPr/>
          <a:lstStyle/>
          <a:p>
            <a:pPr>
              <a:defRPr sz="1200"/>
            </a:pPr>
            <a:endParaRPr lang="en-US"/>
          </a:p>
        </c:txPr>
        <c:crossAx val="106735104"/>
        <c:crosses val="autoZero"/>
        <c:auto val="1"/>
        <c:lblOffset val="100"/>
        <c:baseTimeUnit val="months"/>
        <c:majorUnit val="1"/>
        <c:majorTimeUnit val="years"/>
      </c:dateAx>
      <c:valAx>
        <c:axId val="106735104"/>
        <c:scaling>
          <c:orientation val="minMax"/>
          <c:max val="1500"/>
          <c:min val="0"/>
        </c:scaling>
        <c:axPos val="l"/>
        <c:title>
          <c:tx>
            <c:rich>
              <a:bodyPr rot="-5400000" vert="horz"/>
              <a:lstStyle/>
              <a:p>
                <a:pPr>
                  <a:defRPr sz="1400"/>
                </a:pPr>
                <a:r>
                  <a:rPr lang="en-US"/>
                  <a:t>Inflation-adjusted</a:t>
                </a:r>
                <a:r>
                  <a:rPr lang="en-US" baseline="0"/>
                  <a:t> monthly benefit</a:t>
                </a:r>
                <a:endParaRPr lang="en-US"/>
              </a:p>
            </c:rich>
          </c:tx>
        </c:title>
        <c:numFmt formatCode="General" sourceLinked="0"/>
        <c:tickLblPos val="nextTo"/>
        <c:txPr>
          <a:bodyPr/>
          <a:lstStyle/>
          <a:p>
            <a:pPr>
              <a:defRPr sz="1200"/>
            </a:pPr>
            <a:endParaRPr lang="en-US"/>
          </a:p>
        </c:txPr>
        <c:crossAx val="106733568"/>
        <c:crosses val="autoZero"/>
        <c:crossBetween val="between"/>
        <c:majorUnit val="300"/>
      </c:valAx>
    </c:plotArea>
    <c:legend>
      <c:legendPos val="r"/>
      <c:layout>
        <c:manualLayout>
          <c:xMode val="edge"/>
          <c:yMode val="edge"/>
          <c:x val="0.43713919290067432"/>
          <c:y val="0.32699897987219673"/>
          <c:w val="0.4535229596471918"/>
          <c:h val="0.18185890400063628"/>
        </c:manualLayout>
      </c:layout>
      <c:txPr>
        <a:bodyPr/>
        <a:lstStyle/>
        <a:p>
          <a:pPr>
            <a:defRPr sz="1400"/>
          </a:pPr>
          <a:endParaRPr lang="en-US"/>
        </a:p>
      </c:txPr>
    </c:legend>
    <c:plotVisOnly val="1"/>
    <c:dispBlanksAs val="gap"/>
  </c:chart>
  <c:spPr>
    <a:ln>
      <a:noFill/>
    </a:ln>
  </c:spPr>
  <c:userShapes r:id="rId2"/>
</c:chartSpace>
</file>

<file path=xl/charts/chart5.xml><?xml version="1.0" encoding="utf-8"?>
<c:chartSpace xmlns:c="http://schemas.openxmlformats.org/drawingml/2006/chart" xmlns:a="http://schemas.openxmlformats.org/drawingml/2006/main" xmlns:r="http://schemas.openxmlformats.org/officeDocument/2006/relationships">
  <c:lang val="en-US"/>
  <c:clrMapOvr bg1="lt1" tx1="dk1" bg2="lt2" tx2="dk2" accent1="accent1" accent2="accent2" accent3="accent3" accent4="accent4" accent5="accent5" accent6="accent6" hlink="hlink" folHlink="folHlink"/>
  <c:chart>
    <c:title>
      <c:tx>
        <c:rich>
          <a:bodyPr/>
          <a:lstStyle/>
          <a:p>
            <a:pPr>
              <a:defRPr/>
            </a:pPr>
            <a:r>
              <a:rPr lang="en-US" sz="1800" b="1" i="0" baseline="0">
                <a:effectLst/>
              </a:rPr>
              <a:t>Figure 3.6.  Statutory Safety Net Generosity</a:t>
            </a:r>
            <a:endParaRPr lang="en-US">
              <a:effectLst/>
            </a:endParaRPr>
          </a:p>
          <a:p>
            <a:pPr>
              <a:defRPr/>
            </a:pPr>
            <a:r>
              <a:rPr lang="en-US" sz="1400" b="0" i="0" baseline="0">
                <a:effectLst/>
              </a:rPr>
              <a:t>for non-elderly heads or spouses</a:t>
            </a:r>
            <a:endParaRPr lang="en-US" sz="1400">
              <a:effectLst/>
            </a:endParaRPr>
          </a:p>
        </c:rich>
      </c:tx>
      <c:overlay val="1"/>
    </c:title>
    <c:plotArea>
      <c:layout>
        <c:manualLayout>
          <c:layoutTarget val="inner"/>
          <c:xMode val="edge"/>
          <c:yMode val="edge"/>
          <c:x val="9.4185166002213244E-2"/>
          <c:y val="0.10032184269171278"/>
          <c:w val="0.83172639317111963"/>
          <c:h val="0.82430953755902536"/>
        </c:manualLayout>
      </c:layout>
      <c:lineChart>
        <c:grouping val="standard"/>
        <c:ser>
          <c:idx val="1"/>
          <c:order val="0"/>
          <c:tx>
            <c:strRef>
              <c:f>AvgMargWorker!$K$22</c:f>
              <c:strCache>
                <c:ptCount val="1"/>
                <c:pt idx="0">
                  <c:v>entire safety net plus taxes foregone</c:v>
                </c:pt>
              </c:strCache>
            </c:strRef>
          </c:tx>
          <c:spPr>
            <a:ln w="38100">
              <a:solidFill>
                <a:srgbClr val="FF0000"/>
              </a:solidFill>
            </a:ln>
          </c:spPr>
          <c:marker>
            <c:symbol val="none"/>
          </c:marker>
          <c:cat>
            <c:numRef>
              <c:f>AvgMargWorker!$A$41:$A$136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AvgMargWorker!$K$41:$K$136</c:f>
              <c:numCache>
                <c:formatCode>#,##0</c:formatCode>
                <c:ptCount val="96"/>
                <c:pt idx="0">
                  <c:v>1559.7391042889356</c:v>
                </c:pt>
                <c:pt idx="1">
                  <c:v>1559.3898674479813</c:v>
                </c:pt>
                <c:pt idx="2">
                  <c:v>1559.0136610862044</c:v>
                </c:pt>
                <c:pt idx="3">
                  <c:v>1559.923730069235</c:v>
                </c:pt>
                <c:pt idx="4">
                  <c:v>1559.6449753670631</c:v>
                </c:pt>
                <c:pt idx="5">
                  <c:v>1560.371926031977</c:v>
                </c:pt>
                <c:pt idx="6">
                  <c:v>1562.460943671736</c:v>
                </c:pt>
                <c:pt idx="7">
                  <c:v>1562.3915576937115</c:v>
                </c:pt>
                <c:pt idx="8">
                  <c:v>1562.0180489540917</c:v>
                </c:pt>
                <c:pt idx="9">
                  <c:v>1569.8976056716003</c:v>
                </c:pt>
                <c:pt idx="10">
                  <c:v>1569.3471479708921</c:v>
                </c:pt>
                <c:pt idx="11">
                  <c:v>1569.0352784476254</c:v>
                </c:pt>
                <c:pt idx="12">
                  <c:v>1576.0079001723579</c:v>
                </c:pt>
                <c:pt idx="13">
                  <c:v>1575.7778732843808</c:v>
                </c:pt>
                <c:pt idx="14">
                  <c:v>1576.7930224919335</c:v>
                </c:pt>
                <c:pt idx="15">
                  <c:v>1579.8440538868454</c:v>
                </c:pt>
                <c:pt idx="16">
                  <c:v>1579.4191702134444</c:v>
                </c:pt>
                <c:pt idx="17">
                  <c:v>1578.78742165618</c:v>
                </c:pt>
                <c:pt idx="18">
                  <c:v>1660.3105233888637</c:v>
                </c:pt>
                <c:pt idx="19">
                  <c:v>1660.3955165727275</c:v>
                </c:pt>
                <c:pt idx="20">
                  <c:v>1660.2736140643474</c:v>
                </c:pt>
                <c:pt idx="21">
                  <c:v>1680.6612633072546</c:v>
                </c:pt>
                <c:pt idx="22">
                  <c:v>1682.1035292496326</c:v>
                </c:pt>
                <c:pt idx="23">
                  <c:v>1714.4163188483433</c:v>
                </c:pt>
                <c:pt idx="24">
                  <c:v>1718.3553147965995</c:v>
                </c:pt>
                <c:pt idx="25">
                  <c:v>1717.9994463001128</c:v>
                </c:pt>
                <c:pt idx="26">
                  <c:v>1718.2685896555759</c:v>
                </c:pt>
                <c:pt idx="27">
                  <c:v>1870.0323041129925</c:v>
                </c:pt>
                <c:pt idx="28">
                  <c:v>1870.101558641079</c:v>
                </c:pt>
                <c:pt idx="29">
                  <c:v>1870.3504255370713</c:v>
                </c:pt>
                <c:pt idx="30">
                  <c:v>1876.2461584832627</c:v>
                </c:pt>
                <c:pt idx="31">
                  <c:v>1878.1623670717818</c:v>
                </c:pt>
                <c:pt idx="32">
                  <c:v>1877.9009266976871</c:v>
                </c:pt>
                <c:pt idx="33">
                  <c:v>1876.1324648490056</c:v>
                </c:pt>
                <c:pt idx="34">
                  <c:v>1875.8395885026409</c:v>
                </c:pt>
                <c:pt idx="35">
                  <c:v>1889.247740381503</c:v>
                </c:pt>
                <c:pt idx="36">
                  <c:v>1867.4268539097511</c:v>
                </c:pt>
                <c:pt idx="37">
                  <c:v>1868.1822914289287</c:v>
                </c:pt>
                <c:pt idx="38">
                  <c:v>1870.3077811822225</c:v>
                </c:pt>
                <c:pt idx="39">
                  <c:v>1871.9695419211785</c:v>
                </c:pt>
                <c:pt idx="40">
                  <c:v>1872.0475310423742</c:v>
                </c:pt>
                <c:pt idx="41">
                  <c:v>1848.1205596649454</c:v>
                </c:pt>
                <c:pt idx="42">
                  <c:v>1832.2824038066242</c:v>
                </c:pt>
                <c:pt idx="43">
                  <c:v>1832.0217968191359</c:v>
                </c:pt>
                <c:pt idx="44">
                  <c:v>1831.8359550995965</c:v>
                </c:pt>
                <c:pt idx="45">
                  <c:v>1831.0983945747071</c:v>
                </c:pt>
                <c:pt idx="46">
                  <c:v>1830.9728682132768</c:v>
                </c:pt>
                <c:pt idx="47">
                  <c:v>1804.2092487401173</c:v>
                </c:pt>
                <c:pt idx="48">
                  <c:v>1721.207228373464</c:v>
                </c:pt>
                <c:pt idx="49">
                  <c:v>1720.568608443039</c:v>
                </c:pt>
                <c:pt idx="50">
                  <c:v>1719.9364521594689</c:v>
                </c:pt>
                <c:pt idx="51">
                  <c:v>1719.3945668577505</c:v>
                </c:pt>
                <c:pt idx="52">
                  <c:v>1719.1152433161706</c:v>
                </c:pt>
                <c:pt idx="53">
                  <c:v>1719.3148594712491</c:v>
                </c:pt>
                <c:pt idx="54">
                  <c:v>1718.7341604259768</c:v>
                </c:pt>
                <c:pt idx="55">
                  <c:v>1718.3052099304041</c:v>
                </c:pt>
                <c:pt idx="56">
                  <c:v>1718.0434523041602</c:v>
                </c:pt>
                <c:pt idx="57">
                  <c:v>1718.9271781301052</c:v>
                </c:pt>
                <c:pt idx="58">
                  <c:v>1718.7876189207475</c:v>
                </c:pt>
                <c:pt idx="59">
                  <c:v>1718.6800086580738</c:v>
                </c:pt>
                <c:pt idx="60">
                  <c:v>1718.3237344987815</c:v>
                </c:pt>
                <c:pt idx="61">
                  <c:v>1717.8339122369757</c:v>
                </c:pt>
                <c:pt idx="62">
                  <c:v>1717.8339122369757</c:v>
                </c:pt>
                <c:pt idx="63">
                  <c:v>1717.8339122369757</c:v>
                </c:pt>
                <c:pt idx="64">
                  <c:v>1717.8339122369757</c:v>
                </c:pt>
                <c:pt idx="65">
                  <c:v>1712.6801896615616</c:v>
                </c:pt>
                <c:pt idx="66">
                  <c:v>1712.6801896615616</c:v>
                </c:pt>
                <c:pt idx="67">
                  <c:v>1712.6801896615616</c:v>
                </c:pt>
                <c:pt idx="68">
                  <c:v>1707.1586435784502</c:v>
                </c:pt>
                <c:pt idx="69">
                  <c:v>1703.5149783557551</c:v>
                </c:pt>
                <c:pt idx="70">
                  <c:v>1703.5149783557551</c:v>
                </c:pt>
                <c:pt idx="71">
                  <c:v>1703.5149783557551</c:v>
                </c:pt>
                <c:pt idx="72">
                  <c:v>1733.2812398516139</c:v>
                </c:pt>
                <c:pt idx="73">
                  <c:v>1733.2812398516139</c:v>
                </c:pt>
                <c:pt idx="74">
                  <c:v>1733.2812398516139</c:v>
                </c:pt>
                <c:pt idx="75">
                  <c:v>1733.2812398516139</c:v>
                </c:pt>
                <c:pt idx="76">
                  <c:v>1733.2812398516139</c:v>
                </c:pt>
                <c:pt idx="77">
                  <c:v>1733.2812398516139</c:v>
                </c:pt>
                <c:pt idx="78">
                  <c:v>1733.2812398516139</c:v>
                </c:pt>
                <c:pt idx="79">
                  <c:v>1733.2812398516139</c:v>
                </c:pt>
                <c:pt idx="80">
                  <c:v>1733.2812398516139</c:v>
                </c:pt>
                <c:pt idx="81">
                  <c:v>1733.2812398516139</c:v>
                </c:pt>
                <c:pt idx="82">
                  <c:v>1733.2812398516139</c:v>
                </c:pt>
                <c:pt idx="83">
                  <c:v>1733.2812398516139</c:v>
                </c:pt>
                <c:pt idx="84">
                  <c:v>1697.7932160403452</c:v>
                </c:pt>
                <c:pt idx="85">
                  <c:v>1697.7932160403452</c:v>
                </c:pt>
                <c:pt idx="86">
                  <c:v>1697.7932160403452</c:v>
                </c:pt>
                <c:pt idx="87">
                  <c:v>1697.7932160403452</c:v>
                </c:pt>
                <c:pt idx="88">
                  <c:v>1697.7932160403452</c:v>
                </c:pt>
                <c:pt idx="89">
                  <c:v>1697.7932160403452</c:v>
                </c:pt>
                <c:pt idx="90">
                  <c:v>1697.7932160403452</c:v>
                </c:pt>
                <c:pt idx="91">
                  <c:v>1697.7932160403452</c:v>
                </c:pt>
                <c:pt idx="92">
                  <c:v>1697.7932160403452</c:v>
                </c:pt>
                <c:pt idx="93">
                  <c:v>1697.7932160403452</c:v>
                </c:pt>
                <c:pt idx="94">
                  <c:v>1697.7932160403452</c:v>
                </c:pt>
                <c:pt idx="95">
                  <c:v>1697.7932160403452</c:v>
                </c:pt>
              </c:numCache>
            </c:numRef>
          </c:val>
        </c:ser>
        <c:ser>
          <c:idx val="4"/>
          <c:order val="1"/>
          <c:tx>
            <c:strRef>
              <c:f>AvgMargWorker!$J$22</c:f>
              <c:strCache>
                <c:ptCount val="1"/>
                <c:pt idx="0">
                  <c:v>private &amp; public safety net, including loan discharges</c:v>
                </c:pt>
              </c:strCache>
            </c:strRef>
          </c:tx>
          <c:spPr>
            <a:ln w="38100">
              <a:solidFill>
                <a:sysClr val="windowText" lastClr="000000"/>
              </a:solidFill>
            </a:ln>
          </c:spPr>
          <c:marker>
            <c:symbol val="none"/>
          </c:marker>
          <c:cat>
            <c:numRef>
              <c:f>AvgMargWorker!$A$41:$A$136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AvgMargWorker!$J$41:$J$136</c:f>
              <c:numCache>
                <c:formatCode>#,##0</c:formatCode>
                <c:ptCount val="96"/>
                <c:pt idx="0">
                  <c:v>763.24302203328477</c:v>
                </c:pt>
                <c:pt idx="1">
                  <c:v>762.89378519233048</c:v>
                </c:pt>
                <c:pt idx="2">
                  <c:v>762.51757883055359</c:v>
                </c:pt>
                <c:pt idx="3">
                  <c:v>763.42764781358426</c:v>
                </c:pt>
                <c:pt idx="4">
                  <c:v>763.14889311141246</c:v>
                </c:pt>
                <c:pt idx="5">
                  <c:v>763.87584377632618</c:v>
                </c:pt>
                <c:pt idx="6">
                  <c:v>765.96486141608545</c:v>
                </c:pt>
                <c:pt idx="7">
                  <c:v>765.89547543806088</c:v>
                </c:pt>
                <c:pt idx="8">
                  <c:v>765.52196669844102</c:v>
                </c:pt>
                <c:pt idx="9">
                  <c:v>773.40152341594955</c:v>
                </c:pt>
                <c:pt idx="10">
                  <c:v>772.85106571524136</c:v>
                </c:pt>
                <c:pt idx="11">
                  <c:v>772.5391961919745</c:v>
                </c:pt>
                <c:pt idx="12">
                  <c:v>779.51181791670717</c:v>
                </c:pt>
                <c:pt idx="13">
                  <c:v>779.28179102873003</c:v>
                </c:pt>
                <c:pt idx="14">
                  <c:v>780.29694023628269</c:v>
                </c:pt>
                <c:pt idx="15">
                  <c:v>783.34797163119447</c:v>
                </c:pt>
                <c:pt idx="16">
                  <c:v>782.92308795779365</c:v>
                </c:pt>
                <c:pt idx="17">
                  <c:v>782.29133940052895</c:v>
                </c:pt>
                <c:pt idx="18">
                  <c:v>863.81444113321288</c:v>
                </c:pt>
                <c:pt idx="19">
                  <c:v>863.89943431707661</c:v>
                </c:pt>
                <c:pt idx="20">
                  <c:v>863.77753180869672</c:v>
                </c:pt>
                <c:pt idx="21">
                  <c:v>884.16518105160355</c:v>
                </c:pt>
                <c:pt idx="22">
                  <c:v>885.60744699398185</c:v>
                </c:pt>
                <c:pt idx="23">
                  <c:v>917.92023659269239</c:v>
                </c:pt>
                <c:pt idx="24">
                  <c:v>921.85923254094871</c:v>
                </c:pt>
                <c:pt idx="25">
                  <c:v>921.50336404446193</c:v>
                </c:pt>
                <c:pt idx="26">
                  <c:v>921.77250739992496</c:v>
                </c:pt>
                <c:pt idx="27">
                  <c:v>1073.5362218573418</c:v>
                </c:pt>
                <c:pt idx="28">
                  <c:v>1073.6054763854283</c:v>
                </c:pt>
                <c:pt idx="29">
                  <c:v>1073.8543432814206</c:v>
                </c:pt>
                <c:pt idx="30">
                  <c:v>1079.7500762276118</c:v>
                </c:pt>
                <c:pt idx="31">
                  <c:v>1081.6662848161309</c:v>
                </c:pt>
                <c:pt idx="32">
                  <c:v>1081.4048444420362</c:v>
                </c:pt>
                <c:pt idx="33">
                  <c:v>1079.6363825933549</c:v>
                </c:pt>
                <c:pt idx="34">
                  <c:v>1079.3435062469903</c:v>
                </c:pt>
                <c:pt idx="35">
                  <c:v>1092.7516581258524</c:v>
                </c:pt>
                <c:pt idx="36">
                  <c:v>1070.9307716541005</c:v>
                </c:pt>
                <c:pt idx="37">
                  <c:v>1071.686209173278</c:v>
                </c:pt>
                <c:pt idx="38">
                  <c:v>1073.8116989265718</c:v>
                </c:pt>
                <c:pt idx="39">
                  <c:v>1075.4734596655276</c:v>
                </c:pt>
                <c:pt idx="40">
                  <c:v>1075.5514487867235</c:v>
                </c:pt>
                <c:pt idx="41">
                  <c:v>1051.6244774092947</c:v>
                </c:pt>
                <c:pt idx="42">
                  <c:v>1035.7863215509733</c:v>
                </c:pt>
                <c:pt idx="43">
                  <c:v>1035.5257145634851</c:v>
                </c:pt>
                <c:pt idx="44">
                  <c:v>1035.3398728439458</c:v>
                </c:pt>
                <c:pt idx="45">
                  <c:v>1034.6023123190564</c:v>
                </c:pt>
                <c:pt idx="46">
                  <c:v>1034.4767859576259</c:v>
                </c:pt>
                <c:pt idx="47">
                  <c:v>1007.7131664844666</c:v>
                </c:pt>
                <c:pt idx="48">
                  <c:v>987.67526329217287</c:v>
                </c:pt>
                <c:pt idx="49">
                  <c:v>987.03664336174791</c:v>
                </c:pt>
                <c:pt idx="50">
                  <c:v>986.40448707817779</c:v>
                </c:pt>
                <c:pt idx="51">
                  <c:v>985.86260177645943</c:v>
                </c:pt>
                <c:pt idx="52">
                  <c:v>985.58327823487934</c:v>
                </c:pt>
                <c:pt idx="53">
                  <c:v>985.78289438995796</c:v>
                </c:pt>
                <c:pt idx="54">
                  <c:v>985.20219534468572</c:v>
                </c:pt>
                <c:pt idx="55">
                  <c:v>984.7732448491131</c:v>
                </c:pt>
                <c:pt idx="56">
                  <c:v>984.51148722286905</c:v>
                </c:pt>
                <c:pt idx="57">
                  <c:v>985.39521304881407</c:v>
                </c:pt>
                <c:pt idx="58">
                  <c:v>985.25565383945639</c:v>
                </c:pt>
                <c:pt idx="59">
                  <c:v>985.14804357678281</c:v>
                </c:pt>
                <c:pt idx="60">
                  <c:v>984.79176941749051</c:v>
                </c:pt>
                <c:pt idx="61">
                  <c:v>984.30194715568462</c:v>
                </c:pt>
                <c:pt idx="62">
                  <c:v>984.30194715568462</c:v>
                </c:pt>
                <c:pt idx="63">
                  <c:v>984.30194715568462</c:v>
                </c:pt>
                <c:pt idx="64">
                  <c:v>984.30194715568462</c:v>
                </c:pt>
                <c:pt idx="65">
                  <c:v>979.14822458027061</c:v>
                </c:pt>
                <c:pt idx="66">
                  <c:v>979.14822458027061</c:v>
                </c:pt>
                <c:pt idx="67">
                  <c:v>979.14822458027061</c:v>
                </c:pt>
                <c:pt idx="68">
                  <c:v>973.62667849715899</c:v>
                </c:pt>
                <c:pt idx="69">
                  <c:v>969.98301327446404</c:v>
                </c:pt>
                <c:pt idx="70">
                  <c:v>969.98301327446404</c:v>
                </c:pt>
                <c:pt idx="71">
                  <c:v>969.98301327446404</c:v>
                </c:pt>
                <c:pt idx="72">
                  <c:v>936.78515759596314</c:v>
                </c:pt>
                <c:pt idx="73">
                  <c:v>936.78515759596314</c:v>
                </c:pt>
                <c:pt idx="74">
                  <c:v>936.78515759596314</c:v>
                </c:pt>
                <c:pt idx="75">
                  <c:v>936.78515759596314</c:v>
                </c:pt>
                <c:pt idx="76">
                  <c:v>936.78515759596314</c:v>
                </c:pt>
                <c:pt idx="77">
                  <c:v>936.78515759596314</c:v>
                </c:pt>
                <c:pt idx="78">
                  <c:v>936.78515759596314</c:v>
                </c:pt>
                <c:pt idx="79">
                  <c:v>936.78515759596314</c:v>
                </c:pt>
                <c:pt idx="80">
                  <c:v>936.78515759596314</c:v>
                </c:pt>
                <c:pt idx="81">
                  <c:v>936.78515759596314</c:v>
                </c:pt>
                <c:pt idx="82">
                  <c:v>936.78515759596314</c:v>
                </c:pt>
                <c:pt idx="83">
                  <c:v>936.78515759596314</c:v>
                </c:pt>
                <c:pt idx="84">
                  <c:v>901.29713378469444</c:v>
                </c:pt>
                <c:pt idx="85">
                  <c:v>901.29713378469444</c:v>
                </c:pt>
                <c:pt idx="86">
                  <c:v>901.29713378469444</c:v>
                </c:pt>
                <c:pt idx="87">
                  <c:v>901.29713378469444</c:v>
                </c:pt>
                <c:pt idx="88">
                  <c:v>901.29713378469444</c:v>
                </c:pt>
                <c:pt idx="89">
                  <c:v>901.29713378469444</c:v>
                </c:pt>
                <c:pt idx="90">
                  <c:v>901.29713378469444</c:v>
                </c:pt>
                <c:pt idx="91">
                  <c:v>901.29713378469444</c:v>
                </c:pt>
                <c:pt idx="92">
                  <c:v>901.29713378469444</c:v>
                </c:pt>
                <c:pt idx="93">
                  <c:v>901.29713378469444</c:v>
                </c:pt>
                <c:pt idx="94">
                  <c:v>901.29713378469444</c:v>
                </c:pt>
                <c:pt idx="95">
                  <c:v>901.29713378469444</c:v>
                </c:pt>
              </c:numCache>
            </c:numRef>
          </c:val>
        </c:ser>
        <c:ser>
          <c:idx val="3"/>
          <c:order val="2"/>
          <c:tx>
            <c:strRef>
              <c:f>AvgMargWorker!$I$22</c:f>
              <c:strCache>
                <c:ptCount val="1"/>
                <c:pt idx="0">
                  <c:v>public + mortgage modifications</c:v>
                </c:pt>
              </c:strCache>
            </c:strRef>
          </c:tx>
          <c:spPr>
            <a:ln w="38100">
              <a:solidFill>
                <a:sysClr val="windowText" lastClr="000000">
                  <a:lumMod val="50000"/>
                  <a:lumOff val="50000"/>
                </a:sysClr>
              </a:solidFill>
            </a:ln>
          </c:spPr>
          <c:marker>
            <c:symbol val="none"/>
          </c:marker>
          <c:cat>
            <c:numRef>
              <c:f>AvgMargWorker!$A$41:$A$136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AvgMargWorker!$I$41:$I$136</c:f>
              <c:numCache>
                <c:formatCode>#,##0</c:formatCode>
                <c:ptCount val="96"/>
                <c:pt idx="0">
                  <c:v>662.96731534131925</c:v>
                </c:pt>
                <c:pt idx="1">
                  <c:v>662.61807850036496</c:v>
                </c:pt>
                <c:pt idx="2">
                  <c:v>662.24187213858806</c:v>
                </c:pt>
                <c:pt idx="3">
                  <c:v>663.15194112161873</c:v>
                </c:pt>
                <c:pt idx="4">
                  <c:v>662.87318641944694</c:v>
                </c:pt>
                <c:pt idx="5">
                  <c:v>663.60013708436065</c:v>
                </c:pt>
                <c:pt idx="6">
                  <c:v>665.68915472411993</c:v>
                </c:pt>
                <c:pt idx="7">
                  <c:v>665.61976874609536</c:v>
                </c:pt>
                <c:pt idx="8">
                  <c:v>665.2462600064755</c:v>
                </c:pt>
                <c:pt idx="9">
                  <c:v>673.12581672398403</c:v>
                </c:pt>
                <c:pt idx="10">
                  <c:v>672.57535902327584</c:v>
                </c:pt>
                <c:pt idx="11">
                  <c:v>672.26348950000897</c:v>
                </c:pt>
                <c:pt idx="12">
                  <c:v>679.23611122474165</c:v>
                </c:pt>
                <c:pt idx="13">
                  <c:v>679.0060843367645</c:v>
                </c:pt>
                <c:pt idx="14">
                  <c:v>680.02123354431717</c:v>
                </c:pt>
                <c:pt idx="15">
                  <c:v>683.07226493922894</c:v>
                </c:pt>
                <c:pt idx="16">
                  <c:v>682.64738126582813</c:v>
                </c:pt>
                <c:pt idx="17">
                  <c:v>682.01563270856343</c:v>
                </c:pt>
                <c:pt idx="18">
                  <c:v>763.53873444124736</c:v>
                </c:pt>
                <c:pt idx="19">
                  <c:v>763.62372762511109</c:v>
                </c:pt>
                <c:pt idx="20">
                  <c:v>763.5018251167312</c:v>
                </c:pt>
                <c:pt idx="21">
                  <c:v>783.88947435963803</c:v>
                </c:pt>
                <c:pt idx="22">
                  <c:v>785.33174030201633</c:v>
                </c:pt>
                <c:pt idx="23">
                  <c:v>817.64452990072687</c:v>
                </c:pt>
                <c:pt idx="24">
                  <c:v>821.58352584898319</c:v>
                </c:pt>
                <c:pt idx="25">
                  <c:v>821.22765735249641</c:v>
                </c:pt>
                <c:pt idx="26">
                  <c:v>821.49680070795944</c:v>
                </c:pt>
                <c:pt idx="27">
                  <c:v>973.26051516537621</c:v>
                </c:pt>
                <c:pt idx="28">
                  <c:v>973.32976969346271</c:v>
                </c:pt>
                <c:pt idx="29">
                  <c:v>973.57863658945507</c:v>
                </c:pt>
                <c:pt idx="30">
                  <c:v>979.47436953564625</c:v>
                </c:pt>
                <c:pt idx="31">
                  <c:v>981.39057812416536</c:v>
                </c:pt>
                <c:pt idx="32">
                  <c:v>981.12913775007064</c:v>
                </c:pt>
                <c:pt idx="33">
                  <c:v>979.3606759013893</c:v>
                </c:pt>
                <c:pt idx="34">
                  <c:v>979.06779955502464</c:v>
                </c:pt>
                <c:pt idx="35">
                  <c:v>992.47595143388673</c:v>
                </c:pt>
                <c:pt idx="36">
                  <c:v>970.65506496213482</c:v>
                </c:pt>
                <c:pt idx="37">
                  <c:v>971.41050248131251</c:v>
                </c:pt>
                <c:pt idx="38">
                  <c:v>973.53599223460617</c:v>
                </c:pt>
                <c:pt idx="39">
                  <c:v>975.19775297356205</c:v>
                </c:pt>
                <c:pt idx="40">
                  <c:v>975.2757420947579</c:v>
                </c:pt>
                <c:pt idx="41">
                  <c:v>951.3487707173291</c:v>
                </c:pt>
                <c:pt idx="42">
                  <c:v>935.51061485900777</c:v>
                </c:pt>
                <c:pt idx="43">
                  <c:v>935.25000787151953</c:v>
                </c:pt>
                <c:pt idx="44">
                  <c:v>935.0641661519802</c:v>
                </c:pt>
                <c:pt idx="45">
                  <c:v>934.32660562709077</c:v>
                </c:pt>
                <c:pt idx="46">
                  <c:v>934.20107926566038</c:v>
                </c:pt>
                <c:pt idx="47">
                  <c:v>907.43745979250104</c:v>
                </c:pt>
                <c:pt idx="48">
                  <c:v>887.39955660020735</c:v>
                </c:pt>
                <c:pt idx="49">
                  <c:v>886.76093666978238</c:v>
                </c:pt>
                <c:pt idx="50">
                  <c:v>886.12878038621227</c:v>
                </c:pt>
                <c:pt idx="51">
                  <c:v>885.5868950844939</c:v>
                </c:pt>
                <c:pt idx="52">
                  <c:v>885.30757154291382</c:v>
                </c:pt>
                <c:pt idx="53">
                  <c:v>885.50718769799244</c:v>
                </c:pt>
                <c:pt idx="54">
                  <c:v>884.9264886527202</c:v>
                </c:pt>
                <c:pt idx="55">
                  <c:v>884.49753815714757</c:v>
                </c:pt>
                <c:pt idx="56">
                  <c:v>884.23578053090353</c:v>
                </c:pt>
                <c:pt idx="57">
                  <c:v>885.11950635684855</c:v>
                </c:pt>
                <c:pt idx="58">
                  <c:v>884.97994714749086</c:v>
                </c:pt>
                <c:pt idx="59">
                  <c:v>884.87233688481729</c:v>
                </c:pt>
                <c:pt idx="60">
                  <c:v>884.51606272552499</c:v>
                </c:pt>
                <c:pt idx="61">
                  <c:v>884.02624046371909</c:v>
                </c:pt>
                <c:pt idx="62">
                  <c:v>884.02624046371909</c:v>
                </c:pt>
                <c:pt idx="63">
                  <c:v>884.02624046371909</c:v>
                </c:pt>
                <c:pt idx="64">
                  <c:v>884.02624046371909</c:v>
                </c:pt>
                <c:pt idx="65">
                  <c:v>878.87251788830508</c:v>
                </c:pt>
                <c:pt idx="66">
                  <c:v>878.87251788830508</c:v>
                </c:pt>
                <c:pt idx="67">
                  <c:v>878.87251788830508</c:v>
                </c:pt>
                <c:pt idx="68">
                  <c:v>873.35097180519347</c:v>
                </c:pt>
                <c:pt idx="69">
                  <c:v>869.70730658249852</c:v>
                </c:pt>
                <c:pt idx="70">
                  <c:v>869.70730658249852</c:v>
                </c:pt>
                <c:pt idx="71">
                  <c:v>869.70730658249852</c:v>
                </c:pt>
                <c:pt idx="72">
                  <c:v>836.50945090399762</c:v>
                </c:pt>
                <c:pt idx="73">
                  <c:v>836.50945090399762</c:v>
                </c:pt>
                <c:pt idx="74">
                  <c:v>836.50945090399762</c:v>
                </c:pt>
                <c:pt idx="75">
                  <c:v>836.50945090399762</c:v>
                </c:pt>
                <c:pt idx="76">
                  <c:v>836.50945090399762</c:v>
                </c:pt>
                <c:pt idx="77">
                  <c:v>836.50945090399762</c:v>
                </c:pt>
                <c:pt idx="78">
                  <c:v>836.50945090399762</c:v>
                </c:pt>
                <c:pt idx="79">
                  <c:v>836.50945090399762</c:v>
                </c:pt>
                <c:pt idx="80">
                  <c:v>836.50945090399762</c:v>
                </c:pt>
                <c:pt idx="81">
                  <c:v>836.50945090399762</c:v>
                </c:pt>
                <c:pt idx="82">
                  <c:v>836.50945090399762</c:v>
                </c:pt>
                <c:pt idx="83">
                  <c:v>836.50945090399762</c:v>
                </c:pt>
                <c:pt idx="84">
                  <c:v>801.02142709272891</c:v>
                </c:pt>
                <c:pt idx="85">
                  <c:v>801.02142709272891</c:v>
                </c:pt>
                <c:pt idx="86">
                  <c:v>801.02142709272891</c:v>
                </c:pt>
                <c:pt idx="87">
                  <c:v>801.02142709272891</c:v>
                </c:pt>
                <c:pt idx="88">
                  <c:v>801.02142709272891</c:v>
                </c:pt>
                <c:pt idx="89">
                  <c:v>801.02142709272891</c:v>
                </c:pt>
                <c:pt idx="90">
                  <c:v>801.02142709272891</c:v>
                </c:pt>
                <c:pt idx="91">
                  <c:v>801.02142709272891</c:v>
                </c:pt>
                <c:pt idx="92">
                  <c:v>801.02142709272891</c:v>
                </c:pt>
                <c:pt idx="93">
                  <c:v>801.02142709272891</c:v>
                </c:pt>
                <c:pt idx="94">
                  <c:v>801.02142709272891</c:v>
                </c:pt>
                <c:pt idx="95">
                  <c:v>801.02142709272891</c:v>
                </c:pt>
              </c:numCache>
            </c:numRef>
          </c:val>
        </c:ser>
        <c:ser>
          <c:idx val="0"/>
          <c:order val="3"/>
          <c:tx>
            <c:strRef>
              <c:f>AvgMargWorker!$H$22</c:f>
              <c:strCache>
                <c:ptCount val="1"/>
                <c:pt idx="0">
                  <c:v>public safety net only</c:v>
                </c:pt>
              </c:strCache>
            </c:strRef>
          </c:tx>
          <c:spPr>
            <a:ln w="38100">
              <a:solidFill>
                <a:srgbClr val="FFA7A7"/>
              </a:solidFill>
            </a:ln>
          </c:spPr>
          <c:marker>
            <c:symbol val="none"/>
          </c:marker>
          <c:cat>
            <c:numRef>
              <c:f>AvgMargWorker!$A$41:$A$136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AvgMargWorker!$H$41:$H$136</c:f>
              <c:numCache>
                <c:formatCode>#,##0</c:formatCode>
                <c:ptCount val="96"/>
                <c:pt idx="0">
                  <c:v>655.72311214646038</c:v>
                </c:pt>
                <c:pt idx="1">
                  <c:v>655.37387530550609</c:v>
                </c:pt>
                <c:pt idx="2">
                  <c:v>654.9976689437292</c:v>
                </c:pt>
                <c:pt idx="3">
                  <c:v>654.78086187422628</c:v>
                </c:pt>
                <c:pt idx="4">
                  <c:v>654.50210717205448</c:v>
                </c:pt>
                <c:pt idx="5">
                  <c:v>655.2290578369682</c:v>
                </c:pt>
                <c:pt idx="6">
                  <c:v>655.06432337166018</c:v>
                </c:pt>
                <c:pt idx="7">
                  <c:v>654.99493739363561</c:v>
                </c:pt>
                <c:pt idx="8">
                  <c:v>654.62142865401574</c:v>
                </c:pt>
                <c:pt idx="9">
                  <c:v>659.92526868001892</c:v>
                </c:pt>
                <c:pt idx="10">
                  <c:v>659.37481097931072</c:v>
                </c:pt>
                <c:pt idx="11">
                  <c:v>659.06294145604386</c:v>
                </c:pt>
                <c:pt idx="12">
                  <c:v>661.52805897064218</c:v>
                </c:pt>
                <c:pt idx="13">
                  <c:v>661.29803208266503</c:v>
                </c:pt>
                <c:pt idx="14">
                  <c:v>662.3131812902177</c:v>
                </c:pt>
                <c:pt idx="15">
                  <c:v>661.98358452752859</c:v>
                </c:pt>
                <c:pt idx="16">
                  <c:v>661.55870085412778</c:v>
                </c:pt>
                <c:pt idx="17">
                  <c:v>660.92695229686308</c:v>
                </c:pt>
                <c:pt idx="18">
                  <c:v>738.10353211263168</c:v>
                </c:pt>
                <c:pt idx="19">
                  <c:v>738.18852529649541</c:v>
                </c:pt>
                <c:pt idx="20">
                  <c:v>738.06662278811552</c:v>
                </c:pt>
                <c:pt idx="21">
                  <c:v>755.23462616664062</c:v>
                </c:pt>
                <c:pt idx="22">
                  <c:v>756.67689210901892</c:v>
                </c:pt>
                <c:pt idx="23">
                  <c:v>788.98968170772946</c:v>
                </c:pt>
                <c:pt idx="24">
                  <c:v>788.90412032550864</c:v>
                </c:pt>
                <c:pt idx="25">
                  <c:v>788.54825182902186</c:v>
                </c:pt>
                <c:pt idx="26">
                  <c:v>788.81739518448489</c:v>
                </c:pt>
                <c:pt idx="27">
                  <c:v>939.13226900292989</c:v>
                </c:pt>
                <c:pt idx="28">
                  <c:v>939.20152353101639</c:v>
                </c:pt>
                <c:pt idx="29">
                  <c:v>939.45039042700876</c:v>
                </c:pt>
                <c:pt idx="30">
                  <c:v>946.95594630539074</c:v>
                </c:pt>
                <c:pt idx="31">
                  <c:v>948.87215489390996</c:v>
                </c:pt>
                <c:pt idx="32">
                  <c:v>948.61071451981525</c:v>
                </c:pt>
                <c:pt idx="33">
                  <c:v>948.13011101688653</c:v>
                </c:pt>
                <c:pt idx="34">
                  <c:v>947.83723467052187</c:v>
                </c:pt>
                <c:pt idx="35">
                  <c:v>961.24538654938397</c:v>
                </c:pt>
                <c:pt idx="36">
                  <c:v>940.06842925050842</c:v>
                </c:pt>
                <c:pt idx="37">
                  <c:v>940.82386676968611</c:v>
                </c:pt>
                <c:pt idx="38">
                  <c:v>942.94935652297977</c:v>
                </c:pt>
                <c:pt idx="39">
                  <c:v>944.99993042776134</c:v>
                </c:pt>
                <c:pt idx="40">
                  <c:v>945.0779195489572</c:v>
                </c:pt>
                <c:pt idx="41">
                  <c:v>921.1509481715284</c:v>
                </c:pt>
                <c:pt idx="42">
                  <c:v>905.70160547903288</c:v>
                </c:pt>
                <c:pt idx="43">
                  <c:v>905.44099849154463</c:v>
                </c:pt>
                <c:pt idx="44">
                  <c:v>905.25515677200531</c:v>
                </c:pt>
                <c:pt idx="45">
                  <c:v>904.90640941294168</c:v>
                </c:pt>
                <c:pt idx="46">
                  <c:v>904.7808830515113</c:v>
                </c:pt>
                <c:pt idx="47">
                  <c:v>878.01726357835196</c:v>
                </c:pt>
                <c:pt idx="48">
                  <c:v>858.36817355188396</c:v>
                </c:pt>
                <c:pt idx="49">
                  <c:v>857.72955362145899</c:v>
                </c:pt>
                <c:pt idx="50">
                  <c:v>857.09739733788888</c:v>
                </c:pt>
                <c:pt idx="51">
                  <c:v>856.55551203617051</c:v>
                </c:pt>
                <c:pt idx="52">
                  <c:v>856.27618849459043</c:v>
                </c:pt>
                <c:pt idx="53">
                  <c:v>856.47580464966904</c:v>
                </c:pt>
                <c:pt idx="54">
                  <c:v>855.8951056043968</c:v>
                </c:pt>
                <c:pt idx="55">
                  <c:v>855.46615510882418</c:v>
                </c:pt>
                <c:pt idx="56">
                  <c:v>855.20439748258013</c:v>
                </c:pt>
                <c:pt idx="57">
                  <c:v>856.08812330852516</c:v>
                </c:pt>
                <c:pt idx="58">
                  <c:v>855.94856409916747</c:v>
                </c:pt>
                <c:pt idx="59">
                  <c:v>855.8409538364939</c:v>
                </c:pt>
                <c:pt idx="60">
                  <c:v>855.4846796772016</c:v>
                </c:pt>
                <c:pt idx="61">
                  <c:v>854.9948574153957</c:v>
                </c:pt>
                <c:pt idx="62">
                  <c:v>854.9948574153957</c:v>
                </c:pt>
                <c:pt idx="63">
                  <c:v>854.9948574153957</c:v>
                </c:pt>
                <c:pt idx="64">
                  <c:v>854.9948574153957</c:v>
                </c:pt>
                <c:pt idx="65">
                  <c:v>849.84113483998169</c:v>
                </c:pt>
                <c:pt idx="66">
                  <c:v>849.84113483998169</c:v>
                </c:pt>
                <c:pt idx="67">
                  <c:v>849.84113483998169</c:v>
                </c:pt>
                <c:pt idx="68">
                  <c:v>844.31958875687008</c:v>
                </c:pt>
                <c:pt idx="69">
                  <c:v>840.67592353417513</c:v>
                </c:pt>
                <c:pt idx="70">
                  <c:v>840.67592353417513</c:v>
                </c:pt>
                <c:pt idx="71">
                  <c:v>840.67592353417513</c:v>
                </c:pt>
                <c:pt idx="72">
                  <c:v>807.47806785567423</c:v>
                </c:pt>
                <c:pt idx="73">
                  <c:v>807.47806785567423</c:v>
                </c:pt>
                <c:pt idx="74">
                  <c:v>807.47806785567423</c:v>
                </c:pt>
                <c:pt idx="75">
                  <c:v>807.47806785567423</c:v>
                </c:pt>
                <c:pt idx="76">
                  <c:v>807.47806785567423</c:v>
                </c:pt>
                <c:pt idx="77">
                  <c:v>807.47806785567423</c:v>
                </c:pt>
                <c:pt idx="78">
                  <c:v>807.47806785567423</c:v>
                </c:pt>
                <c:pt idx="79">
                  <c:v>807.47806785567423</c:v>
                </c:pt>
                <c:pt idx="80">
                  <c:v>807.47806785567423</c:v>
                </c:pt>
                <c:pt idx="81">
                  <c:v>807.47806785567423</c:v>
                </c:pt>
                <c:pt idx="82">
                  <c:v>807.47806785567423</c:v>
                </c:pt>
                <c:pt idx="83">
                  <c:v>807.47806785567423</c:v>
                </c:pt>
                <c:pt idx="84">
                  <c:v>771.99004404440552</c:v>
                </c:pt>
                <c:pt idx="85">
                  <c:v>771.99004404440552</c:v>
                </c:pt>
                <c:pt idx="86">
                  <c:v>771.99004404440552</c:v>
                </c:pt>
                <c:pt idx="87">
                  <c:v>771.99004404440552</c:v>
                </c:pt>
                <c:pt idx="88">
                  <c:v>771.99004404440552</c:v>
                </c:pt>
                <c:pt idx="89">
                  <c:v>771.99004404440552</c:v>
                </c:pt>
                <c:pt idx="90">
                  <c:v>771.99004404440552</c:v>
                </c:pt>
                <c:pt idx="91">
                  <c:v>771.99004404440552</c:v>
                </c:pt>
                <c:pt idx="92">
                  <c:v>771.99004404440552</c:v>
                </c:pt>
                <c:pt idx="93">
                  <c:v>771.99004404440552</c:v>
                </c:pt>
                <c:pt idx="94">
                  <c:v>771.99004404440552</c:v>
                </c:pt>
                <c:pt idx="95">
                  <c:v>771.99004404440552</c:v>
                </c:pt>
              </c:numCache>
            </c:numRef>
          </c:val>
        </c:ser>
        <c:dLbls/>
        <c:marker val="1"/>
        <c:axId val="106999808"/>
        <c:axId val="107001344"/>
      </c:lineChart>
      <c:lineChart>
        <c:grouping val="standard"/>
        <c:ser>
          <c:idx val="2"/>
          <c:order val="4"/>
          <c:tx>
            <c:v/>
          </c:tx>
          <c:spPr>
            <a:ln>
              <a:noFill/>
            </a:ln>
          </c:spPr>
          <c:marker>
            <c:symbol val="none"/>
          </c:marker>
          <c:cat>
            <c:numRef>
              <c:f>AvgMargWorker!$A$41:$A$136</c:f>
              <c:numCache>
                <c:formatCode>[$-409]mmm\-yy;@</c:formatCode>
                <c:ptCount val="96"/>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numCache>
            </c:numRef>
          </c:cat>
          <c:val>
            <c:numRef>
              <c:f>AvgMargWorker!$M$41:$M$136</c:f>
              <c:numCache>
                <c:formatCode>0.00</c:formatCode>
                <c:ptCount val="96"/>
                <c:pt idx="0">
                  <c:v>0.40149846725723609</c:v>
                </c:pt>
                <c:pt idx="1">
                  <c:v>0.40140856885309439</c:v>
                </c:pt>
                <c:pt idx="2">
                  <c:v>0.40131172812042926</c:v>
                </c:pt>
                <c:pt idx="3">
                  <c:v>0.40154599249245176</c:v>
                </c:pt>
                <c:pt idx="4">
                  <c:v>0.40147423716788816</c:v>
                </c:pt>
                <c:pt idx="5">
                  <c:v>0.40166136434635791</c:v>
                </c:pt>
                <c:pt idx="6">
                  <c:v>0.40219910644574508</c:v>
                </c:pt>
                <c:pt idx="7">
                  <c:v>0.40218124553314155</c:v>
                </c:pt>
                <c:pt idx="8">
                  <c:v>0.40208509920581531</c:v>
                </c:pt>
                <c:pt idx="9">
                  <c:v>0.40411340633490306</c:v>
                </c:pt>
                <c:pt idx="10">
                  <c:v>0.40397171089204559</c:v>
                </c:pt>
                <c:pt idx="11">
                  <c:v>0.40389143135347949</c:v>
                </c:pt>
                <c:pt idx="12">
                  <c:v>0.40568628084308106</c:v>
                </c:pt>
                <c:pt idx="13">
                  <c:v>0.40562706873337834</c:v>
                </c:pt>
                <c:pt idx="14">
                  <c:v>0.40588838221186269</c:v>
                </c:pt>
                <c:pt idx="15">
                  <c:v>0.40667375998769867</c:v>
                </c:pt>
                <c:pt idx="16">
                  <c:v>0.40656438904023445</c:v>
                </c:pt>
                <c:pt idx="17">
                  <c:v>0.40640176820400858</c:v>
                </c:pt>
                <c:pt idx="18">
                  <c:v>0.42738694470033678</c:v>
                </c:pt>
                <c:pt idx="19">
                  <c:v>0.42740882312407757</c:v>
                </c:pt>
                <c:pt idx="20">
                  <c:v>0.42737744372855246</c:v>
                </c:pt>
                <c:pt idx="21">
                  <c:v>0.43262550726654853</c:v>
                </c:pt>
                <c:pt idx="22">
                  <c:v>0.43299676651346347</c:v>
                </c:pt>
                <c:pt idx="23">
                  <c:v>0.4413145264907658</c:v>
                </c:pt>
                <c:pt idx="24">
                  <c:v>0.44232847865200131</c:v>
                </c:pt>
                <c:pt idx="25">
                  <c:v>0.44223687316779459</c:v>
                </c:pt>
                <c:pt idx="26">
                  <c:v>0.44230615439847848</c:v>
                </c:pt>
                <c:pt idx="27">
                  <c:v>0.48137223831749137</c:v>
                </c:pt>
                <c:pt idx="28">
                  <c:v>0.48139006539305862</c:v>
                </c:pt>
                <c:pt idx="29">
                  <c:v>0.48145412718199321</c:v>
                </c:pt>
                <c:pt idx="30">
                  <c:v>0.48297177057167601</c:v>
                </c:pt>
                <c:pt idx="31">
                  <c:v>0.48346502922571627</c:v>
                </c:pt>
                <c:pt idx="32">
                  <c:v>0.48339773084921889</c:v>
                </c:pt>
                <c:pt idx="33">
                  <c:v>0.48294250425414531</c:v>
                </c:pt>
                <c:pt idx="34">
                  <c:v>0.48286711382260589</c:v>
                </c:pt>
                <c:pt idx="35">
                  <c:v>0.48631855798612805</c:v>
                </c:pt>
                <c:pt idx="36">
                  <c:v>0.48070155931724068</c:v>
                </c:pt>
                <c:pt idx="37">
                  <c:v>0.48089601940689564</c:v>
                </c:pt>
                <c:pt idx="38">
                  <c:v>0.48144314993389969</c:v>
                </c:pt>
                <c:pt idx="39">
                  <c:v>0.48187091018419054</c:v>
                </c:pt>
                <c:pt idx="40">
                  <c:v>0.48189098566510702</c:v>
                </c:pt>
                <c:pt idx="41">
                  <c:v>0.47573185154599101</c:v>
                </c:pt>
                <c:pt idx="42">
                  <c:v>0.47165489067233507</c:v>
                </c:pt>
                <c:pt idx="43">
                  <c:v>0.47158780682110291</c:v>
                </c:pt>
                <c:pt idx="44">
                  <c:v>0.47153996858627095</c:v>
                </c:pt>
                <c:pt idx="45">
                  <c:v>0.4713501102827648</c:v>
                </c:pt>
                <c:pt idx="46">
                  <c:v>0.47131779805722912</c:v>
                </c:pt>
                <c:pt idx="47">
                  <c:v>0.46442847139536525</c:v>
                </c:pt>
                <c:pt idx="48">
                  <c:v>0.44306260074121007</c:v>
                </c:pt>
                <c:pt idx="49">
                  <c:v>0.4428982111182786</c:v>
                </c:pt>
                <c:pt idx="50">
                  <c:v>0.44273548532764956</c:v>
                </c:pt>
                <c:pt idx="51">
                  <c:v>0.44259599653912662</c:v>
                </c:pt>
                <c:pt idx="52">
                  <c:v>0.44252409478741389</c:v>
                </c:pt>
                <c:pt idx="53">
                  <c:v>0.44257547875290104</c:v>
                </c:pt>
                <c:pt idx="54">
                  <c:v>0.44242599876873356</c:v>
                </c:pt>
                <c:pt idx="55">
                  <c:v>0.44231558096486617</c:v>
                </c:pt>
                <c:pt idx="56">
                  <c:v>0.44224820092326761</c:v>
                </c:pt>
                <c:pt idx="57">
                  <c:v>0.44247568420147543</c:v>
                </c:pt>
                <c:pt idx="58">
                  <c:v>0.44243975972635352</c:v>
                </c:pt>
                <c:pt idx="59">
                  <c:v>0.44241205935299888</c:v>
                </c:pt>
                <c:pt idx="60">
                  <c:v>0.44232034944556248</c:v>
                </c:pt>
                <c:pt idx="61">
                  <c:v>0.44219426240523457</c:v>
                </c:pt>
                <c:pt idx="62">
                  <c:v>0.44219426240523457</c:v>
                </c:pt>
                <c:pt idx="63">
                  <c:v>0.44219426240523457</c:v>
                </c:pt>
                <c:pt idx="64">
                  <c:v>0.44219426240523457</c:v>
                </c:pt>
                <c:pt idx="65">
                  <c:v>0.44086762277107533</c:v>
                </c:pt>
                <c:pt idx="66">
                  <c:v>0.44086762277107533</c:v>
                </c:pt>
                <c:pt idx="67">
                  <c:v>0.44086762277107533</c:v>
                </c:pt>
                <c:pt idx="68">
                  <c:v>0.43944630026709791</c:v>
                </c:pt>
                <c:pt idx="69">
                  <c:v>0.43850837032863077</c:v>
                </c:pt>
                <c:pt idx="70">
                  <c:v>0.43850837032863077</c:v>
                </c:pt>
                <c:pt idx="71">
                  <c:v>0.43850837032863077</c:v>
                </c:pt>
                <c:pt idx="72">
                  <c:v>0.44617061867112756</c:v>
                </c:pt>
                <c:pt idx="73">
                  <c:v>0.44617061867112756</c:v>
                </c:pt>
                <c:pt idx="74">
                  <c:v>0.44617061867112756</c:v>
                </c:pt>
                <c:pt idx="75">
                  <c:v>0.44617061867112756</c:v>
                </c:pt>
                <c:pt idx="76">
                  <c:v>0.44617061867112756</c:v>
                </c:pt>
                <c:pt idx="77">
                  <c:v>0.44617061867112756</c:v>
                </c:pt>
                <c:pt idx="78">
                  <c:v>0.44617061867112756</c:v>
                </c:pt>
                <c:pt idx="79">
                  <c:v>0.44617061867112756</c:v>
                </c:pt>
                <c:pt idx="80">
                  <c:v>0.44617061867112756</c:v>
                </c:pt>
                <c:pt idx="81">
                  <c:v>0.44617061867112756</c:v>
                </c:pt>
                <c:pt idx="82">
                  <c:v>0.44617061867112756</c:v>
                </c:pt>
                <c:pt idx="83">
                  <c:v>0.44617061867112756</c:v>
                </c:pt>
                <c:pt idx="84">
                  <c:v>0.43703550939097119</c:v>
                </c:pt>
                <c:pt idx="85">
                  <c:v>0.43703550939097119</c:v>
                </c:pt>
                <c:pt idx="86">
                  <c:v>0.43703550939097119</c:v>
                </c:pt>
                <c:pt idx="87">
                  <c:v>0.43703550939097119</c:v>
                </c:pt>
                <c:pt idx="88">
                  <c:v>0.43703550939097119</c:v>
                </c:pt>
                <c:pt idx="89">
                  <c:v>0.43703550939097119</c:v>
                </c:pt>
                <c:pt idx="90">
                  <c:v>0.43703550939097119</c:v>
                </c:pt>
                <c:pt idx="91">
                  <c:v>0.43703550939097119</c:v>
                </c:pt>
                <c:pt idx="92">
                  <c:v>0.43703550939097119</c:v>
                </c:pt>
                <c:pt idx="93">
                  <c:v>0.43703550939097119</c:v>
                </c:pt>
                <c:pt idx="94">
                  <c:v>0.43703550939097119</c:v>
                </c:pt>
                <c:pt idx="95">
                  <c:v>0.43703550939097119</c:v>
                </c:pt>
              </c:numCache>
            </c:numRef>
          </c:val>
        </c:ser>
        <c:dLbls/>
        <c:marker val="1"/>
        <c:axId val="107017728"/>
        <c:axId val="107003264"/>
      </c:lineChart>
      <c:dateAx>
        <c:axId val="106999808"/>
        <c:scaling>
          <c:orientation val="minMax"/>
          <c:max val="40908"/>
          <c:min val="39083"/>
        </c:scaling>
        <c:axPos val="b"/>
        <c:numFmt formatCode="yyyy" sourceLinked="0"/>
        <c:tickLblPos val="nextTo"/>
        <c:txPr>
          <a:bodyPr/>
          <a:lstStyle/>
          <a:p>
            <a:pPr>
              <a:defRPr sz="1200"/>
            </a:pPr>
            <a:endParaRPr lang="en-US"/>
          </a:p>
        </c:txPr>
        <c:crossAx val="107001344"/>
        <c:crosses val="autoZero"/>
        <c:auto val="1"/>
        <c:lblOffset val="100"/>
        <c:baseTimeUnit val="months"/>
        <c:majorUnit val="1"/>
        <c:majorTimeUnit val="years"/>
      </c:dateAx>
      <c:valAx>
        <c:axId val="107001344"/>
        <c:scaling>
          <c:orientation val="minMax"/>
          <c:max val="2000"/>
          <c:min val="650"/>
        </c:scaling>
        <c:axPos val="l"/>
        <c:title>
          <c:tx>
            <c:rich>
              <a:bodyPr rot="-5400000" vert="horz"/>
              <a:lstStyle/>
              <a:p>
                <a:pPr>
                  <a:defRPr sz="1400"/>
                </a:pPr>
                <a:r>
                  <a:rPr lang="en-US"/>
                  <a:t>Inflation-adjusted</a:t>
                </a:r>
                <a:r>
                  <a:rPr lang="en-US" baseline="0"/>
                  <a:t> monthly benefit</a:t>
                </a:r>
                <a:endParaRPr lang="en-US"/>
              </a:p>
            </c:rich>
          </c:tx>
        </c:title>
        <c:numFmt formatCode="General" sourceLinked="0"/>
        <c:tickLblPos val="nextTo"/>
        <c:txPr>
          <a:bodyPr/>
          <a:lstStyle/>
          <a:p>
            <a:pPr>
              <a:defRPr sz="1200"/>
            </a:pPr>
            <a:endParaRPr lang="en-US"/>
          </a:p>
        </c:txPr>
        <c:crossAx val="106999808"/>
        <c:crosses val="autoZero"/>
        <c:crossBetween val="between"/>
        <c:majorUnit val="250"/>
      </c:valAx>
      <c:valAx>
        <c:axId val="107003264"/>
        <c:scaling>
          <c:orientation val="minMax"/>
          <c:max val="0.51500000000000001"/>
          <c:min val="0.17"/>
        </c:scaling>
        <c:axPos val="r"/>
        <c:title>
          <c:tx>
            <c:rich>
              <a:bodyPr rot="-5400000" vert="horz"/>
              <a:lstStyle/>
              <a:p>
                <a:pPr algn="ctr" rtl="0">
                  <a:defRPr lang="en-US" sz="1400" b="1" i="0" u="none" strike="noStrike" kern="1200" baseline="0">
                    <a:solidFill>
                      <a:sysClr val="windowText" lastClr="000000"/>
                    </a:solidFill>
                    <a:latin typeface="+mn-lt"/>
                    <a:ea typeface="+mn-ea"/>
                    <a:cs typeface="+mn-cs"/>
                  </a:defRPr>
                </a:pPr>
                <a:r>
                  <a:rPr lang="en-US" sz="1400" b="1" i="0" u="none" strike="noStrike" kern="1200" baseline="0">
                    <a:solidFill>
                      <a:sysClr val="windowText" lastClr="000000"/>
                    </a:solidFill>
                    <a:latin typeface="+mn-lt"/>
                    <a:ea typeface="+mn-ea"/>
                    <a:cs typeface="+mn-cs"/>
                  </a:rPr>
                  <a:t>Replacement Rate at the Median</a:t>
                </a:r>
              </a:p>
            </c:rich>
          </c:tx>
        </c:title>
        <c:numFmt formatCode="#,##0.00" sourceLinked="0"/>
        <c:tickLblPos val="nextTo"/>
        <c:txPr>
          <a:bodyPr/>
          <a:lstStyle/>
          <a:p>
            <a:pPr algn="ctr">
              <a:defRPr lang="en-US" sz="1200" b="0" i="0" u="none" strike="noStrike" kern="1200" baseline="0">
                <a:solidFill>
                  <a:sysClr val="windowText" lastClr="000000"/>
                </a:solidFill>
                <a:latin typeface="+mn-lt"/>
                <a:ea typeface="+mn-ea"/>
                <a:cs typeface="+mn-cs"/>
              </a:defRPr>
            </a:pPr>
            <a:endParaRPr lang="en-US"/>
          </a:p>
        </c:txPr>
        <c:crossAx val="107017728"/>
        <c:crosses val="max"/>
        <c:crossBetween val="between"/>
      </c:valAx>
      <c:dateAx>
        <c:axId val="107017728"/>
        <c:scaling>
          <c:orientation val="minMax"/>
        </c:scaling>
        <c:delete val="1"/>
        <c:axPos val="b"/>
        <c:numFmt formatCode="[$-409]mmm\-yy;@" sourceLinked="1"/>
        <c:tickLblPos val="none"/>
        <c:crossAx val="107003264"/>
        <c:crosses val="autoZero"/>
        <c:auto val="1"/>
        <c:lblOffset val="100"/>
        <c:baseTimeUnit val="months"/>
      </c:dateAx>
    </c:plotArea>
    <c:legend>
      <c:legendPos val="r"/>
      <c:layout>
        <c:manualLayout>
          <c:xMode val="edge"/>
          <c:yMode val="edge"/>
          <c:x val="0.32114891973811732"/>
          <c:y val="0.41401257479241688"/>
          <c:w val="0.55174755581915069"/>
          <c:h val="0.21555605869423641"/>
        </c:manualLayout>
      </c:layout>
      <c:txPr>
        <a:bodyPr/>
        <a:lstStyle/>
        <a:p>
          <a:pPr>
            <a:defRPr sz="1400"/>
          </a:pPr>
          <a:endParaRPr lang="en-US"/>
        </a:p>
      </c:txPr>
    </c:legend>
    <c:plotVisOnly val="1"/>
    <c:dispBlanksAs val="gap"/>
  </c:chart>
  <c:spPr>
    <a:ln>
      <a:no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strRef>
          <c:f>Quarterly!$A$1</c:f>
          <c:strCache>
            <c:ptCount val="1"/>
            <c:pt idx="0">
              <c:v>Figure 3.7.  Labor Market Distortions Measured from Productivity, Wages, and Safety Net Statutes</c:v>
            </c:pt>
          </c:strCache>
        </c:strRef>
      </c:tx>
      <c:overlay val="1"/>
      <c:txPr>
        <a:bodyPr/>
        <a:lstStyle/>
        <a:p>
          <a:pPr>
            <a:defRPr sz="1800" b="1" i="0" u="none" strike="noStrike" baseline="0">
              <a:solidFill>
                <a:srgbClr val="000000"/>
              </a:solidFill>
              <a:latin typeface="Times New Roman"/>
              <a:ea typeface="Times New Roman"/>
              <a:cs typeface="Times New Roman"/>
            </a:defRPr>
          </a:pPr>
          <a:endParaRPr lang="en-US"/>
        </a:p>
      </c:txPr>
    </c:title>
    <c:plotArea>
      <c:layout>
        <c:manualLayout>
          <c:layoutTarget val="inner"/>
          <c:xMode val="edge"/>
          <c:yMode val="edge"/>
          <c:x val="9.4185166002213244E-2"/>
          <c:y val="7.0032823439027045E-2"/>
          <c:w val="0.84492079921790919"/>
          <c:h val="0.8545985568117066"/>
        </c:manualLayout>
      </c:layout>
      <c:lineChart>
        <c:grouping val="standard"/>
        <c:ser>
          <c:idx val="0"/>
          <c:order val="0"/>
          <c:tx>
            <c:strRef>
              <c:f>Quarterly!$D$4</c:f>
              <c:strCache>
                <c:ptCount val="1"/>
                <c:pt idx="0">
                  <c:v>productivity-based distortions</c:v>
                </c:pt>
              </c:strCache>
            </c:strRef>
          </c:tx>
          <c:spPr>
            <a:ln w="38100">
              <a:solidFill>
                <a:schemeClr val="tx1"/>
              </a:solidFill>
            </a:ln>
          </c:spPr>
          <c:marker>
            <c:symbol val="none"/>
          </c:marker>
          <c:cat>
            <c:strRef>
              <c:f>Quarterly!$M$13:$M$29</c:f>
              <c:strCache>
                <c:ptCount val="17"/>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strCache>
            </c:strRef>
          </c:cat>
          <c:val>
            <c:numRef>
              <c:f>Quarterly!$D$13:$D$29</c:f>
              <c:numCache>
                <c:formatCode>General</c:formatCode>
                <c:ptCount val="17"/>
                <c:pt idx="0">
                  <c:v>0</c:v>
                </c:pt>
                <c:pt idx="1">
                  <c:v>-8.8377004151198955E-3</c:v>
                </c:pt>
                <c:pt idx="2">
                  <c:v>5.6429150529337634E-3</c:v>
                </c:pt>
                <c:pt idx="3">
                  <c:v>2.5686483261146482E-2</c:v>
                </c:pt>
                <c:pt idx="4">
                  <c:v>4.7641148593472196E-2</c:v>
                </c:pt>
                <c:pt idx="5">
                  <c:v>8.5481733253075703E-2</c:v>
                </c:pt>
                <c:pt idx="6">
                  <c:v>0.13110323272191421</c:v>
                </c:pt>
                <c:pt idx="7">
                  <c:v>0.15260706720295186</c:v>
                </c:pt>
                <c:pt idx="8">
                  <c:v>0.1672452715837113</c:v>
                </c:pt>
                <c:pt idx="9">
                  <c:v>0.17144571446267678</c:v>
                </c:pt>
                <c:pt idx="10">
                  <c:v>0.15914059850450404</c:v>
                </c:pt>
                <c:pt idx="11">
                  <c:v>0.16412474559362339</c:v>
                </c:pt>
                <c:pt idx="12">
                  <c:v>0.15911911726162031</c:v>
                </c:pt>
                <c:pt idx="13">
                  <c:v>0.15146055555855564</c:v>
                </c:pt>
                <c:pt idx="14">
                  <c:v>0.14189245400170292</c:v>
                </c:pt>
                <c:pt idx="15">
                  <c:v>0.1445457560247238</c:v>
                </c:pt>
                <c:pt idx="16">
                  <c:v>0.14399531089692783</c:v>
                </c:pt>
              </c:numCache>
            </c:numRef>
          </c:val>
        </c:ser>
        <c:ser>
          <c:idx val="2"/>
          <c:order val="1"/>
          <c:tx>
            <c:strRef>
              <c:f>Quarterly!$E$4</c:f>
              <c:strCache>
                <c:ptCount val="1"/>
                <c:pt idx="0">
                  <c:v>wage-based distortions</c:v>
                </c:pt>
              </c:strCache>
            </c:strRef>
          </c:tx>
          <c:spPr>
            <a:ln w="38100">
              <a:solidFill>
                <a:schemeClr val="tx1">
                  <a:lumMod val="50000"/>
                  <a:lumOff val="50000"/>
                </a:schemeClr>
              </a:solidFill>
            </a:ln>
          </c:spPr>
          <c:marker>
            <c:symbol val="none"/>
          </c:marker>
          <c:cat>
            <c:strRef>
              <c:f>Quarterly!$M$13:$M$29</c:f>
              <c:strCache>
                <c:ptCount val="17"/>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strCache>
            </c:strRef>
          </c:cat>
          <c:val>
            <c:numRef>
              <c:f>Quarterly!$E$13:$E$29</c:f>
              <c:numCache>
                <c:formatCode>General</c:formatCode>
                <c:ptCount val="17"/>
                <c:pt idx="0">
                  <c:v>0</c:v>
                </c:pt>
                <c:pt idx="1">
                  <c:v>3.8507434077257119E-4</c:v>
                </c:pt>
                <c:pt idx="2">
                  <c:v>-2.653639768117303E-3</c:v>
                </c:pt>
                <c:pt idx="3">
                  <c:v>1.7482502765907668E-2</c:v>
                </c:pt>
                <c:pt idx="4">
                  <c:v>6.852080656313056E-2</c:v>
                </c:pt>
                <c:pt idx="5">
                  <c:v>0.10433772141692731</c:v>
                </c:pt>
                <c:pt idx="6">
                  <c:v>0.14432390262433786</c:v>
                </c:pt>
                <c:pt idx="7">
                  <c:v>0.15070226729840874</c:v>
                </c:pt>
                <c:pt idx="8">
                  <c:v>0.15205385491944276</c:v>
                </c:pt>
                <c:pt idx="9">
                  <c:v>0.14814681556259496</c:v>
                </c:pt>
                <c:pt idx="10">
                  <c:v>0.13933287899113392</c:v>
                </c:pt>
                <c:pt idx="11">
                  <c:v>0.14345896456452323</c:v>
                </c:pt>
                <c:pt idx="12">
                  <c:v>0.13138660958357451</c:v>
                </c:pt>
                <c:pt idx="13">
                  <c:v>0.12826757756536944</c:v>
                </c:pt>
                <c:pt idx="14">
                  <c:v>0.11302712735187002</c:v>
                </c:pt>
                <c:pt idx="15">
                  <c:v>0.11973820342936846</c:v>
                </c:pt>
                <c:pt idx="16">
                  <c:v>0.12120105538483794</c:v>
                </c:pt>
              </c:numCache>
            </c:numRef>
          </c:val>
        </c:ser>
        <c:ser>
          <c:idx val="1"/>
          <c:order val="2"/>
          <c:tx>
            <c:strRef>
              <c:f>Quarterly!$C$4</c:f>
              <c:strCache>
                <c:ptCount val="1"/>
                <c:pt idx="0">
                  <c:v>self-reliance rates from safety net statutes</c:v>
                </c:pt>
              </c:strCache>
            </c:strRef>
          </c:tx>
          <c:spPr>
            <a:ln w="38100">
              <a:solidFill>
                <a:srgbClr val="FF0000"/>
              </a:solidFill>
            </a:ln>
          </c:spPr>
          <c:marker>
            <c:symbol val="none"/>
          </c:marker>
          <c:cat>
            <c:strRef>
              <c:f>Quarterly!$M$13:$M$29</c:f>
              <c:strCache>
                <c:ptCount val="17"/>
                <c:pt idx="0">
                  <c:v>2007-Q4</c:v>
                </c:pt>
                <c:pt idx="1">
                  <c:v>2008-Q1</c:v>
                </c:pt>
                <c:pt idx="2">
                  <c:v>2008-Q2</c:v>
                </c:pt>
                <c:pt idx="3">
                  <c:v>2008-Q3</c:v>
                </c:pt>
                <c:pt idx="4">
                  <c:v>2008-Q4</c:v>
                </c:pt>
                <c:pt idx="5">
                  <c:v>2009-Q1</c:v>
                </c:pt>
                <c:pt idx="6">
                  <c:v>2009-Q2</c:v>
                </c:pt>
                <c:pt idx="7">
                  <c:v>2009-Q3</c:v>
                </c:pt>
                <c:pt idx="8">
                  <c:v>2009-Q4</c:v>
                </c:pt>
                <c:pt idx="9">
                  <c:v>2010-Q1</c:v>
                </c:pt>
                <c:pt idx="10">
                  <c:v>2010-Q2</c:v>
                </c:pt>
                <c:pt idx="11">
                  <c:v>2010-Q3</c:v>
                </c:pt>
                <c:pt idx="12">
                  <c:v>2010-Q4</c:v>
                </c:pt>
                <c:pt idx="13">
                  <c:v>2011-Q1</c:v>
                </c:pt>
                <c:pt idx="14">
                  <c:v>2011-Q2</c:v>
                </c:pt>
                <c:pt idx="15">
                  <c:v>2011-Q3</c:v>
                </c:pt>
                <c:pt idx="16">
                  <c:v>2011-Q4</c:v>
                </c:pt>
              </c:strCache>
            </c:strRef>
          </c:cat>
          <c:val>
            <c:numRef>
              <c:f>Quarterly!$C$13:$C$29</c:f>
              <c:numCache>
                <c:formatCode>General</c:formatCode>
                <c:ptCount val="17"/>
                <c:pt idx="0">
                  <c:v>0</c:v>
                </c:pt>
                <c:pt idx="1">
                  <c:v>2.9266019687518544E-3</c:v>
                </c:pt>
                <c:pt idx="2">
                  <c:v>4.2951551364753772E-3</c:v>
                </c:pt>
                <c:pt idx="3">
                  <c:v>4.00507958182666E-2</c:v>
                </c:pt>
                <c:pt idx="4">
                  <c:v>5.4571360194362831E-2</c:v>
                </c:pt>
                <c:pt idx="5">
                  <c:v>6.6415569204132427E-2</c:v>
                </c:pt>
                <c:pt idx="6">
                  <c:v>0.13913147099405238</c:v>
                </c:pt>
                <c:pt idx="7">
                  <c:v>0.14274911301693147</c:v>
                </c:pt>
                <c:pt idx="8">
                  <c:v>0.14422982200665463</c:v>
                </c:pt>
                <c:pt idx="9">
                  <c:v>0.13837605858083346</c:v>
                </c:pt>
                <c:pt idx="10">
                  <c:v>0.13610050315539668</c:v>
                </c:pt>
                <c:pt idx="11">
                  <c:v>0.12038927554990091</c:v>
                </c:pt>
                <c:pt idx="12">
                  <c:v>0.11555226560517574</c:v>
                </c:pt>
                <c:pt idx="13">
                  <c:v>6.7506810432944236E-2</c:v>
                </c:pt>
                <c:pt idx="14">
                  <c:v>6.6908219271629238E-2</c:v>
                </c:pt>
                <c:pt idx="15">
                  <c:v>6.6486262291767101E-2</c:v>
                </c:pt>
                <c:pt idx="16">
                  <c:v>6.6688147917971938E-2</c:v>
                </c:pt>
              </c:numCache>
            </c:numRef>
          </c:val>
        </c:ser>
        <c:dLbls/>
        <c:marker val="1"/>
        <c:axId val="106934656"/>
        <c:axId val="106936192"/>
      </c:lineChart>
      <c:catAx>
        <c:axId val="106934656"/>
        <c:scaling>
          <c:orientation val="minMax"/>
        </c:scaling>
        <c:axPos val="b"/>
        <c:numFmt formatCode="[$-409]mmm\-yy;@" sourceLinked="0"/>
        <c:tickLblPos val="nextTo"/>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936192"/>
        <c:crosses val="autoZero"/>
        <c:auto val="1"/>
        <c:lblAlgn val="ctr"/>
        <c:lblOffset val="100"/>
        <c:noMultiLvlLbl val="1"/>
      </c:catAx>
      <c:valAx>
        <c:axId val="106936192"/>
        <c:scaling>
          <c:orientation val="minMax"/>
          <c:max val="0.2"/>
          <c:min val="-4.0000000000000022E-2"/>
        </c:scaling>
        <c:axPos val="l"/>
        <c:title>
          <c:tx>
            <c:rich>
              <a:bodyPr/>
              <a:lstStyle/>
              <a:p>
                <a:pPr>
                  <a:defRPr sz="1400" b="1" i="0" u="none" strike="noStrike" baseline="0">
                    <a:solidFill>
                      <a:srgbClr val="000000"/>
                    </a:solidFill>
                    <a:latin typeface="Times New Roman"/>
                    <a:ea typeface="Times New Roman"/>
                    <a:cs typeface="Times New Roman"/>
                  </a:defRPr>
                </a:pPr>
                <a:r>
                  <a:rPr lang="en-US"/>
                  <a:t>log change from 2007-Q4</a:t>
                </a:r>
              </a:p>
            </c:rich>
          </c:tx>
        </c:title>
        <c:numFmt formatCode="General" sourceLinked="1"/>
        <c:tickLblPos val="nextTo"/>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06934656"/>
        <c:crosses val="autoZero"/>
        <c:crossBetween val="between"/>
        <c:majorUnit val="4.0000000000000022E-2"/>
      </c:valAx>
    </c:plotArea>
    <c:legend>
      <c:legendPos val="r"/>
      <c:layout>
        <c:manualLayout>
          <c:xMode val="edge"/>
          <c:yMode val="edge"/>
          <c:x val="0.42531714534088477"/>
          <c:y val="0.48655390141647681"/>
          <c:w val="0.41813795591374908"/>
          <c:h val="0.19523172928199284"/>
        </c:manualLayout>
      </c:layout>
      <c:txPr>
        <a:bodyPr/>
        <a:lstStyle/>
        <a:p>
          <a:pPr>
            <a:defRPr sz="1400" b="0" i="0" u="none" strike="noStrike" baseline="0">
              <a:solidFill>
                <a:srgbClr val="000000"/>
              </a:solidFill>
              <a:latin typeface="Times New Roman"/>
              <a:ea typeface="Times New Roman"/>
              <a:cs typeface="Times New Roman"/>
            </a:defRPr>
          </a:pPr>
          <a:endParaRPr lang="en-US"/>
        </a:p>
      </c:txPr>
    </c:legend>
    <c:plotVisOnly val="1"/>
    <c:dispBlanksAs val="gap"/>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strRef>
          <c:f>Decomposition!$A$1</c:f>
          <c:strCache>
            <c:ptCount val="1"/>
            <c:pt idx="0">
              <c:v>Figure 11.2.  Decomposition of 2007-Q4 to 2009-Q4 real safety net generosity changes, person characteristics held constant</c:v>
            </c:pt>
          </c:strCache>
        </c:strRef>
      </c:tx>
      <c:overlay val="1"/>
    </c:title>
    <c:plotArea>
      <c:layout>
        <c:manualLayout>
          <c:layoutTarget val="inner"/>
          <c:xMode val="edge"/>
          <c:yMode val="edge"/>
          <c:x val="9.6362617778845139E-2"/>
          <c:y val="5.2230129510650376E-2"/>
          <c:w val="0.46261405479518675"/>
          <c:h val="0.8854230413423525"/>
        </c:manualLayout>
      </c:layout>
      <c:barChart>
        <c:barDir val="col"/>
        <c:grouping val="stacked"/>
        <c:ser>
          <c:idx val="0"/>
          <c:order val="0"/>
          <c:tx>
            <c:strRef>
              <c:f>Decomposition!$J$5</c:f>
              <c:strCache>
                <c:ptCount val="1"/>
                <c:pt idx="0">
                  <c:v>increase UI duration (36%)</c:v>
                </c:pt>
              </c:strCache>
            </c:strRef>
          </c:tx>
          <c:spPr>
            <a:pattFill prst="ltDnDiag">
              <a:fgClr>
                <a:schemeClr val="tx1">
                  <a:lumMod val="50000"/>
                  <a:lumOff val="50000"/>
                </a:schemeClr>
              </a:fgClr>
              <a:bgClr>
                <a:schemeClr val="bg1"/>
              </a:bgClr>
            </a:pattFill>
          </c:spPr>
          <c:cat>
            <c:strLit>
              <c:ptCount val="1"/>
              <c:pt idx="0">
                <c:v>Additional Benefits Received in 2009-Q4</c:v>
              </c:pt>
            </c:strLit>
          </c:cat>
          <c:val>
            <c:numRef>
              <c:f>Decomposition!$H$5</c:f>
              <c:numCache>
                <c:formatCode>#,##0</c:formatCode>
                <c:ptCount val="1"/>
                <c:pt idx="0">
                  <c:v>112.81884423849928</c:v>
                </c:pt>
              </c:numCache>
            </c:numRef>
          </c:val>
        </c:ser>
        <c:ser>
          <c:idx val="1"/>
          <c:order val="1"/>
          <c:tx>
            <c:strRef>
              <c:f>Decomposition!$J$11</c:f>
              <c:strCache>
                <c:ptCount val="1"/>
                <c:pt idx="0">
                  <c:v>SNAP (benefits and eligibility) (16%)</c:v>
                </c:pt>
              </c:strCache>
            </c:strRef>
          </c:tx>
          <c:spPr>
            <a:pattFill prst="ltUpDiag">
              <a:fgClr>
                <a:srgbClr val="FF0000"/>
              </a:fgClr>
              <a:bgClr>
                <a:schemeClr val="bg1"/>
              </a:bgClr>
            </a:pattFill>
          </c:spPr>
          <c:cat>
            <c:strLit>
              <c:ptCount val="1"/>
              <c:pt idx="0">
                <c:v>Additional Benefits Received in 2009-Q4</c:v>
              </c:pt>
            </c:strLit>
          </c:cat>
          <c:val>
            <c:numRef>
              <c:f>Decomposition!$H$11</c:f>
              <c:numCache>
                <c:formatCode>#,##0</c:formatCode>
                <c:ptCount val="1"/>
                <c:pt idx="0">
                  <c:v>49.225276370117783</c:v>
                </c:pt>
              </c:numCache>
            </c:numRef>
          </c:val>
        </c:ser>
        <c:ser>
          <c:idx val="2"/>
          <c:order val="2"/>
          <c:tx>
            <c:strRef>
              <c:f>Decomposition!$J$6</c:f>
              <c:strCache>
                <c:ptCount val="1"/>
                <c:pt idx="0">
                  <c:v>subsidize COBRA payments (11%)</c:v>
                </c:pt>
              </c:strCache>
            </c:strRef>
          </c:tx>
          <c:spPr>
            <a:pattFill prst="pct50">
              <a:fgClr>
                <a:schemeClr val="tx1">
                  <a:lumMod val="50000"/>
                  <a:lumOff val="50000"/>
                </a:schemeClr>
              </a:fgClr>
              <a:bgClr>
                <a:schemeClr val="bg1"/>
              </a:bgClr>
            </a:pattFill>
            <a:ln>
              <a:noFill/>
            </a:ln>
          </c:spPr>
          <c:cat>
            <c:strLit>
              <c:ptCount val="1"/>
              <c:pt idx="0">
                <c:v>Additional Benefits Received in 2009-Q4</c:v>
              </c:pt>
            </c:strLit>
          </c:cat>
          <c:val>
            <c:numRef>
              <c:f>Decomposition!$H$6</c:f>
              <c:numCache>
                <c:formatCode>#,##0</c:formatCode>
                <c:ptCount val="1"/>
                <c:pt idx="0">
                  <c:v>35.69483889624604</c:v>
                </c:pt>
              </c:numCache>
            </c:numRef>
          </c:val>
        </c:ser>
        <c:ser>
          <c:idx val="3"/>
          <c:order val="3"/>
          <c:tx>
            <c:strRef>
              <c:f>Decomposition!$J$8</c:f>
              <c:strCache>
                <c:ptCount val="1"/>
                <c:pt idx="0">
                  <c:v>federal additional UI (9%)</c:v>
                </c:pt>
              </c:strCache>
            </c:strRef>
          </c:tx>
          <c:spPr>
            <a:pattFill prst="ltDnDiag">
              <a:fgClr>
                <a:srgbClr val="FFA7A7"/>
              </a:fgClr>
              <a:bgClr>
                <a:schemeClr val="bg1"/>
              </a:bgClr>
            </a:pattFill>
          </c:spPr>
          <c:cat>
            <c:strLit>
              <c:ptCount val="1"/>
              <c:pt idx="0">
                <c:v>Additional Benefits Received in 2009-Q4</c:v>
              </c:pt>
            </c:strLit>
          </c:cat>
          <c:val>
            <c:numRef>
              <c:f>Decomposition!$H$8</c:f>
              <c:numCache>
                <c:formatCode>#,##0</c:formatCode>
                <c:ptCount val="1"/>
                <c:pt idx="0">
                  <c:v>27.200088905668188</c:v>
                </c:pt>
              </c:numCache>
            </c:numRef>
          </c:val>
        </c:ser>
        <c:ser>
          <c:idx val="4"/>
          <c:order val="4"/>
          <c:tx>
            <c:strRef>
              <c:f>Decomposition!$J$12</c:f>
              <c:strCache>
                <c:ptCount val="1"/>
                <c:pt idx="0">
                  <c:v>means-tested mortgage modification (6%)</c:v>
                </c:pt>
              </c:strCache>
            </c:strRef>
          </c:tx>
          <c:spPr>
            <a:pattFill prst="ltUpDiag">
              <a:fgClr>
                <a:schemeClr val="tx1">
                  <a:lumMod val="50000"/>
                  <a:lumOff val="50000"/>
                </a:schemeClr>
              </a:fgClr>
              <a:bgClr>
                <a:schemeClr val="bg1"/>
              </a:bgClr>
            </a:pattFill>
          </c:spPr>
          <c:cat>
            <c:strLit>
              <c:ptCount val="1"/>
              <c:pt idx="0">
                <c:v>Additional Benefits Received in 2009-Q4</c:v>
              </c:pt>
            </c:strLit>
          </c:cat>
          <c:val>
            <c:numRef>
              <c:f>Decomposition!$H$12</c:f>
              <c:numCache>
                <c:formatCode>#,##0</c:formatCode>
                <c:ptCount val="1"/>
                <c:pt idx="0">
                  <c:v>18.030016840537677</c:v>
                </c:pt>
              </c:numCache>
            </c:numRef>
          </c:val>
        </c:ser>
        <c:ser>
          <c:idx val="5"/>
          <c:order val="5"/>
          <c:tx>
            <c:strRef>
              <c:f>Decomposition!$J$7</c:f>
              <c:strCache>
                <c:ptCount val="1"/>
                <c:pt idx="0">
                  <c:v>exempt part of UI benefits from federal inc. tax (5%)</c:v>
                </c:pt>
              </c:strCache>
            </c:strRef>
          </c:tx>
          <c:spPr>
            <a:pattFill prst="pct50">
              <a:fgClr>
                <a:srgbClr val="FFA7A7"/>
              </a:fgClr>
              <a:bgClr>
                <a:schemeClr val="bg1"/>
              </a:bgClr>
            </a:pattFill>
          </c:spPr>
          <c:cat>
            <c:strLit>
              <c:ptCount val="1"/>
              <c:pt idx="0">
                <c:v>Additional Benefits Received in 2009-Q4</c:v>
              </c:pt>
            </c:strLit>
          </c:cat>
          <c:val>
            <c:numRef>
              <c:f>Decomposition!$H$7</c:f>
              <c:numCache>
                <c:formatCode>#,##0</c:formatCode>
                <c:ptCount val="1"/>
                <c:pt idx="0">
                  <c:v>14.086353226432873</c:v>
                </c:pt>
              </c:numCache>
            </c:numRef>
          </c:val>
        </c:ser>
        <c:ser>
          <c:idx val="6"/>
          <c:order val="6"/>
          <c:tx>
            <c:strRef>
              <c:f>Decomposition!$J$9</c:f>
              <c:strCache>
                <c:ptCount val="1"/>
                <c:pt idx="0">
                  <c:v>modernize UI eligibility criteria (4%)</c:v>
                </c:pt>
              </c:strCache>
            </c:strRef>
          </c:tx>
          <c:spPr>
            <a:pattFill prst="ltVert">
              <a:fgClr>
                <a:schemeClr val="tx1">
                  <a:lumMod val="50000"/>
                  <a:lumOff val="50000"/>
                </a:schemeClr>
              </a:fgClr>
              <a:bgClr>
                <a:schemeClr val="bg1"/>
              </a:bgClr>
            </a:pattFill>
          </c:spPr>
          <c:cat>
            <c:strLit>
              <c:ptCount val="1"/>
              <c:pt idx="0">
                <c:v>Additional Benefits Received in 2009-Q4</c:v>
              </c:pt>
            </c:strLit>
          </c:cat>
          <c:val>
            <c:numRef>
              <c:f>Decomposition!$H$9</c:f>
              <c:numCache>
                <c:formatCode>#,##0</c:formatCode>
                <c:ptCount val="1"/>
                <c:pt idx="0">
                  <c:v>13.757288544107825</c:v>
                </c:pt>
              </c:numCache>
            </c:numRef>
          </c:val>
        </c:ser>
        <c:ser>
          <c:idx val="7"/>
          <c:order val="7"/>
          <c:tx>
            <c:strRef>
              <c:f>Decomposition!$J$10</c:f>
              <c:strCache>
                <c:ptCount val="1"/>
                <c:pt idx="0">
                  <c:v>interactions among UI and related provisions (13%)</c:v>
                </c:pt>
              </c:strCache>
            </c:strRef>
          </c:tx>
          <c:spPr>
            <a:pattFill prst="ltHorz">
              <a:fgClr>
                <a:srgbClr val="FFA7A7"/>
              </a:fgClr>
              <a:bgClr>
                <a:schemeClr val="bg1"/>
              </a:bgClr>
            </a:pattFill>
          </c:spPr>
          <c:cat>
            <c:strLit>
              <c:ptCount val="1"/>
              <c:pt idx="0">
                <c:v>Additional Benefits Received in 2009-Q4</c:v>
              </c:pt>
            </c:strLit>
          </c:cat>
          <c:val>
            <c:numRef>
              <c:f>Decomposition!$H$10</c:f>
              <c:numCache>
                <c:formatCode>#,##0</c:formatCode>
                <c:ptCount val="1"/>
                <c:pt idx="0">
                  <c:v>40.167213526067577</c:v>
                </c:pt>
              </c:numCache>
            </c:numRef>
          </c:val>
        </c:ser>
        <c:dLbls/>
        <c:overlap val="100"/>
        <c:axId val="108175360"/>
        <c:axId val="108176896"/>
      </c:barChart>
      <c:catAx>
        <c:axId val="108175360"/>
        <c:scaling>
          <c:orientation val="minMax"/>
        </c:scaling>
        <c:axPos val="b"/>
        <c:tickLblPos val="nextTo"/>
        <c:txPr>
          <a:bodyPr/>
          <a:lstStyle/>
          <a:p>
            <a:pPr>
              <a:defRPr sz="1400"/>
            </a:pPr>
            <a:endParaRPr lang="en-US"/>
          </a:p>
        </c:txPr>
        <c:crossAx val="108176896"/>
        <c:crosses val="autoZero"/>
        <c:auto val="1"/>
        <c:lblAlgn val="ctr"/>
        <c:lblOffset val="100"/>
      </c:catAx>
      <c:valAx>
        <c:axId val="108176896"/>
        <c:scaling>
          <c:orientation val="minMax"/>
        </c:scaling>
        <c:axPos val="l"/>
        <c:title>
          <c:tx>
            <c:rich>
              <a:bodyPr rot="-5400000" vert="horz"/>
              <a:lstStyle/>
              <a:p>
                <a:pPr>
                  <a:defRPr sz="1400"/>
                </a:pPr>
                <a:r>
                  <a:rPr lang="en-US" sz="1400"/>
                  <a:t>$</a:t>
                </a:r>
                <a:r>
                  <a:rPr lang="en-US" sz="1400" baseline="0"/>
                  <a:t> </a:t>
                </a:r>
                <a:r>
                  <a:rPr lang="en-US" sz="1400"/>
                  <a:t>per month, inflation adjusted</a:t>
                </a:r>
              </a:p>
            </c:rich>
          </c:tx>
        </c:title>
        <c:numFmt formatCode="#,##0" sourceLinked="1"/>
        <c:tickLblPos val="nextTo"/>
        <c:txPr>
          <a:bodyPr/>
          <a:lstStyle/>
          <a:p>
            <a:pPr>
              <a:defRPr sz="1200"/>
            </a:pPr>
            <a:endParaRPr lang="en-US"/>
          </a:p>
        </c:txPr>
        <c:crossAx val="108175360"/>
        <c:crosses val="autoZero"/>
        <c:crossBetween val="between"/>
      </c:valAx>
    </c:plotArea>
    <c:legend>
      <c:legendPos val="r"/>
      <c:layout>
        <c:manualLayout>
          <c:xMode val="edge"/>
          <c:yMode val="edge"/>
          <c:x val="0.46092797099345789"/>
          <c:y val="0.20396331616623692"/>
          <c:w val="0.53028649935036409"/>
          <c:h val="0.59207336766752849"/>
        </c:manualLayout>
      </c:layout>
      <c:txPr>
        <a:bodyPr/>
        <a:lstStyle/>
        <a:p>
          <a:pPr>
            <a:defRPr sz="1600"/>
          </a:pPr>
          <a:endParaRPr lang="en-US"/>
        </a:p>
      </c:txPr>
    </c:legend>
    <c:plotVisOnly val="1"/>
    <c:dispBlanksAs val="gap"/>
  </c:chart>
  <c:spPr>
    <a:ln>
      <a:noFill/>
    </a:ln>
  </c:sp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sheetPr/>
  <sheetViews>
    <sheetView zoomScale="131" workbookViewId="0" zoomToFit="1"/>
  </sheetViews>
  <pageMargins left="0.7" right="0.7" top="0.75" bottom="0.75" header="0.3" footer="0.3"/>
  <pageSetup orientation="landscape" horizontalDpi="1200" verticalDpi="1200" r:id="rId1"/>
  <drawing r:id="rId2"/>
</chartsheet>
</file>

<file path=xl/chartsheets/sheet2.xml><?xml version="1.0" encoding="utf-8"?>
<chartsheet xmlns="http://schemas.openxmlformats.org/spreadsheetml/2006/main" xmlns:r="http://schemas.openxmlformats.org/officeDocument/2006/relationships">
  <sheetPr/>
  <sheetViews>
    <sheetView zoomScale="131" workbookViewId="0" zoomToFit="1"/>
  </sheetViews>
  <pageMargins left="0.7" right="0.7" top="0.75" bottom="0.75" header="0.3" footer="0.3"/>
  <pageSetup orientation="landscape" horizontalDpi="1200" verticalDpi="1200" r:id="rId1"/>
  <drawing r:id="rId2"/>
</chartsheet>
</file>

<file path=xl/chartsheets/sheet3.xml><?xml version="1.0" encoding="utf-8"?>
<chartsheet xmlns="http://schemas.openxmlformats.org/spreadsheetml/2006/main" xmlns:r="http://schemas.openxmlformats.org/officeDocument/2006/relationships">
  <sheetPr/>
  <sheetViews>
    <sheetView zoomScale="131" workbookViewId="0" zoomToFit="1"/>
  </sheetViews>
  <pageMargins left="0.7" right="0.7" top="0.75" bottom="0.75" header="0.3" footer="0.3"/>
  <pageSetup orientation="landscape" horizontalDpi="1200" verticalDpi="1200" r:id="rId1"/>
  <drawing r:id="rId2"/>
</chartsheet>
</file>

<file path=xl/chartsheets/sheet4.xml><?xml version="1.0" encoding="utf-8"?>
<chartsheet xmlns="http://schemas.openxmlformats.org/spreadsheetml/2006/main" xmlns:r="http://schemas.openxmlformats.org/officeDocument/2006/relationships">
  <sheetPr/>
  <sheetViews>
    <sheetView zoomScale="131" workbookViewId="0" zoomToFit="1"/>
  </sheetViews>
  <pageMargins left="0.7" right="0.7" top="0.75" bottom="0.75" header="0.3" footer="0.3"/>
  <pageSetup orientation="landscape" horizontalDpi="1200" verticalDpi="1200" r:id="rId1"/>
  <drawing r:id="rId2"/>
</chartsheet>
</file>

<file path=xl/chartsheets/sheet5.xml><?xml version="1.0" encoding="utf-8"?>
<chartsheet xmlns="http://schemas.openxmlformats.org/spreadsheetml/2006/main" xmlns:r="http://schemas.openxmlformats.org/officeDocument/2006/relationships">
  <sheetPr/>
  <sheetViews>
    <sheetView zoomScale="131" workbookViewId="0" zoomToFit="1"/>
  </sheetViews>
  <pageMargins left="0.7" right="0.7" top="0.75" bottom="0.75" header="0.3" footer="0.3"/>
  <pageSetup orientation="landscape" horizontalDpi="1200" verticalDpi="1200" r:id="rId1"/>
  <drawing r:id="rId2"/>
</chartsheet>
</file>

<file path=xl/chartsheets/sheet6.xml><?xml version="1.0" encoding="utf-8"?>
<chartsheet xmlns="http://schemas.openxmlformats.org/spreadsheetml/2006/main" xmlns:r="http://schemas.openxmlformats.org/officeDocument/2006/relationships">
  <sheetPr/>
  <sheetViews>
    <sheetView zoomScale="131" workbookViewId="0" zoomToFit="1"/>
  </sheetViews>
  <pageMargins left="0.7" right="0.7" top="0.75" bottom="0.75" header="0.3" footer="0.3"/>
  <pageSetup orientation="landscape" r:id="rId1"/>
  <drawing r:id="rId2"/>
</chartsheet>
</file>

<file path=xl/chartsheets/sheet7.xml><?xml version="1.0" encoding="utf-8"?>
<chartsheet xmlns="http://schemas.openxmlformats.org/spreadsheetml/2006/main" xmlns:r="http://schemas.openxmlformats.org/officeDocument/2006/relationships">
  <sheetPr/>
  <sheetViews>
    <sheetView zoomScale="8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9752" cy="628940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9752" cy="628940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0.32746</cdr:x>
      <cdr:y>0.05665</cdr:y>
    </cdr:from>
    <cdr:to>
      <cdr:x>0.6759</cdr:x>
      <cdr:y>0.12832</cdr:y>
    </cdr:to>
    <cdr:sp macro="" textlink="OtherElgBen!$L$3">
      <cdr:nvSpPr>
        <cdr:cNvPr id="2" name="TextBox 1"/>
        <cdr:cNvSpPr txBox="1"/>
      </cdr:nvSpPr>
      <cdr:spPr>
        <a:xfrm xmlns:a="http://schemas.openxmlformats.org/drawingml/2006/main">
          <a:off x="2835686" y="356279"/>
          <a:ext cx="3017463" cy="4508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indent="0"/>
          <a:fld id="{86B21CEF-4EEF-405A-A0AC-350758DA2A58}" type="TxLink">
            <a:rPr lang="en-US" sz="1400">
              <a:latin typeface="+mn-lt"/>
              <a:ea typeface="+mn-ea"/>
              <a:cs typeface="+mn-cs"/>
            </a:rPr>
            <a:pPr marL="0" indent="0"/>
            <a:t>non-elderly household heads and spouses</a:t>
          </a:fld>
          <a:endParaRPr lang="en-US" sz="1400">
            <a:latin typeface="+mn-lt"/>
            <a:ea typeface="+mn-ea"/>
            <a:cs typeface="+mn-cs"/>
          </a:endParaRP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59752" cy="628940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9752" cy="628940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0.22418</cdr:x>
      <cdr:y>0.05665</cdr:y>
    </cdr:from>
    <cdr:to>
      <cdr:x>0.79009</cdr:x>
      <cdr:y>0.10636</cdr:y>
    </cdr:to>
    <cdr:sp macro="" textlink="OtherElgBen!$L$5">
      <cdr:nvSpPr>
        <cdr:cNvPr id="2" name="TextBox 1"/>
        <cdr:cNvSpPr txBox="1"/>
      </cdr:nvSpPr>
      <cdr:spPr>
        <a:xfrm xmlns:a="http://schemas.openxmlformats.org/drawingml/2006/main">
          <a:off x="1941356" y="356279"/>
          <a:ext cx="4900648" cy="3126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indent="0"/>
          <a:fld id="{FB0FFFFF-2398-4B9F-8D81-2C7BC4284371}" type="TxLink">
            <a:rPr lang="en-US" sz="1400">
              <a:latin typeface="+mn-lt"/>
              <a:ea typeface="+mn-ea"/>
              <a:cs typeface="+mn-cs"/>
            </a:rPr>
            <a:pPr marL="0" indent="0"/>
            <a:t>for non-elderly household heads and spouses, by labor force status</a:t>
          </a:fld>
          <a:endParaRPr lang="en-US" sz="1400">
            <a:latin typeface="+mn-lt"/>
            <a:ea typeface="+mn-ea"/>
            <a:cs typeface="+mn-cs"/>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59752" cy="628940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9752" cy="628940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9752" cy="628940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qualcomm\bethardl\attach\meanstestedtransfer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SummaryChart"/>
      <sheetName val="NonemployedFig"/>
      <sheetName val="NonemployedRed"/>
      <sheetName val="NonemployedFigRR"/>
      <sheetName val="NonemployedTable"/>
      <sheetName val="Distortions"/>
      <sheetName val="Fredconnect"/>
      <sheetName val="mortmetrics"/>
      <sheetName val="otherloans"/>
      <sheetName val="AnnualDischarges"/>
      <sheetName val="GovPrograms"/>
      <sheetName val="inclusion"/>
      <sheetName val="PIPrograms"/>
      <sheetName val="UIRR"/>
      <sheetName val="RRs"/>
      <sheetName val="RRchart"/>
    </sheetNames>
    <sheetDataSet>
      <sheetData sheetId="0">
        <row r="4">
          <cell r="A4">
            <v>20</v>
          </cell>
        </row>
        <row r="10">
          <cell r="A10">
            <v>38718</v>
          </cell>
        </row>
      </sheetData>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CBMTRom">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BMThemeTR">
      <a:majorFont>
        <a:latin typeface="Cambria"/>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BMThemeTR">
    <a:majorFont>
      <a:latin typeface="Cambria"/>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BMThemeTR">
    <a:majorFont>
      <a:latin typeface="Cambria"/>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BMThemeTR">
    <a:majorFont>
      <a:latin typeface="Cambria"/>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BMThemeTR">
    <a:majorFont>
      <a:latin typeface="Cambria"/>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BMThemeTR">
    <a:majorFont>
      <a:latin typeface="Cambria"/>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cms.gov/MedicareMedicaidStatSupp/downloads/2010Medicaid.zip" TargetMode="External"/><Relationship Id="rId2" Type="http://schemas.openxmlformats.org/officeDocument/2006/relationships/hyperlink" Target="http://www.statehealthfacts.org/comparemaptable.jsp?ind=774&amp;cat=4" TargetMode="External"/><Relationship Id="rId1" Type="http://schemas.openxmlformats.org/officeDocument/2006/relationships/hyperlink" Target="http://workforcesecurity.doleta.gov/unemploy/chariu.asp"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hyperlink" Target="https://www.cms.gov/MedicareMedicaidStatSupp/downloads/2010Medicaid.zip,%20Table%2013.4" TargetMode="External"/><Relationship Id="rId1" Type="http://schemas.openxmlformats.org/officeDocument/2006/relationships/hyperlink" Target="http://www.statehealthfacts.org/comparemaptable.jsp?ind=774&amp;cat=4" TargetMode="External"/><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3" Type="http://schemas.openxmlformats.org/officeDocument/2006/relationships/hyperlink" Target="http://research.stlouisfed.org/fred2/series/COE" TargetMode="External"/><Relationship Id="rId2" Type="http://schemas.openxmlformats.org/officeDocument/2006/relationships/hyperlink" Target="http://research.stlouisfed.org/fred2/series/POP" TargetMode="External"/><Relationship Id="rId1" Type="http://schemas.openxmlformats.org/officeDocument/2006/relationships/hyperlink" Target="http://research.stlouisfed.org/fred2/series/PCEPI" TargetMode="External"/><Relationship Id="rId5" Type="http://schemas.openxmlformats.org/officeDocument/2006/relationships/hyperlink" Target="http://research.stlouisfed.org/fred2/series/PCEPI" TargetMode="External"/><Relationship Id="rId4" Type="http://schemas.openxmlformats.org/officeDocument/2006/relationships/hyperlink" Target="http://research.stlouisfed.org/fred2/series/WASCU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G41"/>
  <sheetViews>
    <sheetView tabSelected="1" workbookViewId="0"/>
  </sheetViews>
  <sheetFormatPr defaultRowHeight="15"/>
  <cols>
    <col min="1" max="1" width="15.7109375" bestFit="1" customWidth="1"/>
    <col min="2" max="2" width="55.42578125" bestFit="1" customWidth="1"/>
    <col min="3" max="3" width="20.28515625" bestFit="1" customWidth="1"/>
    <col min="4" max="4" width="21.42578125" bestFit="1" customWidth="1"/>
    <col min="5" max="5" width="23.5703125" bestFit="1" customWidth="1"/>
    <col min="6" max="6" width="12.140625" bestFit="1" customWidth="1"/>
  </cols>
  <sheetData>
    <row r="1" spans="1:7">
      <c r="A1" s="33" t="s">
        <v>492</v>
      </c>
    </row>
    <row r="2" spans="1:7">
      <c r="A2" t="s">
        <v>491</v>
      </c>
    </row>
    <row r="3" spans="1:7">
      <c r="A3" t="s">
        <v>494</v>
      </c>
    </row>
    <row r="4" spans="1:7">
      <c r="A4" t="s">
        <v>495</v>
      </c>
    </row>
    <row r="5" spans="1:7">
      <c r="A5" s="33"/>
    </row>
    <row r="6" spans="1:7">
      <c r="A6" s="38" t="s">
        <v>493</v>
      </c>
    </row>
    <row r="8" spans="1:7">
      <c r="A8" s="5" t="s">
        <v>131</v>
      </c>
      <c r="B8" s="5" t="s">
        <v>132</v>
      </c>
      <c r="C8" s="5" t="s">
        <v>144</v>
      </c>
    </row>
    <row r="9" spans="1:7">
      <c r="A9" t="s">
        <v>277</v>
      </c>
      <c r="B9" t="str">
        <f>Tbl3.3!A1</f>
        <v>Table 3.3.  Major Government Benefit Rule Changes Since 2007</v>
      </c>
      <c r="C9" s="5"/>
    </row>
    <row r="10" spans="1:7">
      <c r="A10" t="s">
        <v>133</v>
      </c>
      <c r="B10" t="str">
        <f>UIElg!$A$1</f>
        <v>Statutory Changes: Unemployment Insurance Eligibility</v>
      </c>
      <c r="C10" t="s">
        <v>136</v>
      </c>
      <c r="D10" t="s">
        <v>137</v>
      </c>
      <c r="E10" t="s">
        <v>138</v>
      </c>
    </row>
    <row r="11" spans="1:7">
      <c r="A11" t="s">
        <v>134</v>
      </c>
      <c r="B11" t="str">
        <f>UIBen!$A$1</f>
        <v>Statutory Changes: Unemployment Insurance Benefit Amounts</v>
      </c>
      <c r="C11" t="s">
        <v>140</v>
      </c>
      <c r="D11" t="s">
        <v>137</v>
      </c>
      <c r="E11" t="s">
        <v>141</v>
      </c>
      <c r="F11" t="s">
        <v>142</v>
      </c>
      <c r="G11" t="s">
        <v>143</v>
      </c>
    </row>
    <row r="12" spans="1:7">
      <c r="A12" t="s">
        <v>135</v>
      </c>
      <c r="B12" t="str">
        <f>UIWeights!$A$1</f>
        <v>Unemployment Insurance Program Weights</v>
      </c>
      <c r="C12" s="37" t="s">
        <v>145</v>
      </c>
      <c r="D12" t="s">
        <v>268</v>
      </c>
      <c r="E12" t="s">
        <v>141</v>
      </c>
    </row>
    <row r="13" spans="1:7">
      <c r="A13" t="s">
        <v>206</v>
      </c>
      <c r="B13" t="str">
        <f>SNAPElg!A1</f>
        <v>Statutory Changes: SNAP Eligibility</v>
      </c>
      <c r="C13" t="s">
        <v>208</v>
      </c>
    </row>
    <row r="14" spans="1:7">
      <c r="A14" t="s">
        <v>203</v>
      </c>
      <c r="B14" t="str">
        <f>SNAPBen!$A$1</f>
        <v>Statutory Changes: SNAP Benefit Amounts</v>
      </c>
      <c r="C14" t="s">
        <v>204</v>
      </c>
      <c r="D14" t="s">
        <v>205</v>
      </c>
      <c r="E14" t="s">
        <v>207</v>
      </c>
    </row>
    <row r="15" spans="1:7">
      <c r="A15" t="s">
        <v>139</v>
      </c>
      <c r="B15" t="str">
        <f>SNAPWeights!$A$1</f>
        <v>SNAP Program Weights</v>
      </c>
      <c r="C15" t="s">
        <v>163</v>
      </c>
      <c r="D15" t="s">
        <v>490</v>
      </c>
    </row>
    <row r="16" spans="1:7">
      <c r="A16" t="s">
        <v>246</v>
      </c>
      <c r="B16" t="str">
        <f>MedicaidElgBen!A1</f>
        <v>Statutory Changes: Medicaid Eligibility &amp; Benefits</v>
      </c>
      <c r="C16" t="s">
        <v>247</v>
      </c>
    </row>
    <row r="17" spans="1:4">
      <c r="A17" t="s">
        <v>164</v>
      </c>
      <c r="B17" t="str">
        <f>MedicaidWeights!$A$1</f>
        <v>Medicaid Program Weights</v>
      </c>
      <c r="C17" s="37" t="s">
        <v>167</v>
      </c>
      <c r="D17" s="37" t="s">
        <v>173</v>
      </c>
    </row>
    <row r="18" spans="1:4">
      <c r="A18" t="s">
        <v>267</v>
      </c>
      <c r="B18" t="str">
        <f>OtherElgBen!$A$1</f>
        <v>Statutory Changes: All Other Government Means-Tested Programs Eligibility &amp; Benefits</v>
      </c>
      <c r="C18" s="34" t="s">
        <v>269</v>
      </c>
      <c r="D18" s="37"/>
    </row>
    <row r="19" spans="1:4">
      <c r="C19" s="37"/>
      <c r="D19" s="37"/>
    </row>
    <row r="20" spans="1:4">
      <c r="A20" t="s">
        <v>175</v>
      </c>
      <c r="B20" t="s">
        <v>302</v>
      </c>
      <c r="C20" s="34" t="s">
        <v>178</v>
      </c>
      <c r="D20" s="37"/>
    </row>
    <row r="21" spans="1:4">
      <c r="A21" t="s">
        <v>278</v>
      </c>
      <c r="B21" t="str">
        <f>Tbl3.5!$A$1</f>
        <v>Table 3.5.  Government Safety Net Program Weights</v>
      </c>
    </row>
    <row r="22" spans="1:4">
      <c r="A22" t="s">
        <v>270</v>
      </c>
      <c r="B22" t="str">
        <f>GovGener!A1</f>
        <v>Statutory Changes: Government Safety Net Generosity by Program and LF Status</v>
      </c>
    </row>
    <row r="23" spans="1:4">
      <c r="A23" s="16" t="s">
        <v>287</v>
      </c>
      <c r="B23" s="16" t="s">
        <v>337</v>
      </c>
    </row>
    <row r="24" spans="1:4">
      <c r="A24" t="s">
        <v>398</v>
      </c>
      <c r="B24" t="s">
        <v>401</v>
      </c>
    </row>
    <row r="25" spans="1:4">
      <c r="A25" t="s">
        <v>434</v>
      </c>
      <c r="B25" t="str">
        <f>Ch6Output!A1</f>
        <v>Statistics for Chapter 6 x-sectional analysis</v>
      </c>
    </row>
    <row r="26" spans="1:4">
      <c r="A26" t="s">
        <v>488</v>
      </c>
      <c r="B26" t="s">
        <v>489</v>
      </c>
    </row>
    <row r="28" spans="1:4">
      <c r="A28" t="s">
        <v>146</v>
      </c>
      <c r="B28" t="s">
        <v>147</v>
      </c>
    </row>
    <row r="29" spans="1:4">
      <c r="A29" t="s">
        <v>148</v>
      </c>
      <c r="B29" t="s">
        <v>149</v>
      </c>
      <c r="C29" s="34" t="s">
        <v>109</v>
      </c>
      <c r="D29" s="34" t="s">
        <v>126</v>
      </c>
    </row>
    <row r="30" spans="1:4">
      <c r="C30" s="34"/>
      <c r="D30" s="34"/>
    </row>
    <row r="31" spans="1:4">
      <c r="A31" t="s">
        <v>152</v>
      </c>
      <c r="B31" t="s">
        <v>153</v>
      </c>
      <c r="C31" t="s">
        <v>342</v>
      </c>
    </row>
    <row r="32" spans="1:4">
      <c r="A32" t="s">
        <v>75</v>
      </c>
      <c r="B32" t="s">
        <v>433</v>
      </c>
      <c r="C32" t="s">
        <v>351</v>
      </c>
    </row>
    <row r="33" spans="1:2">
      <c r="A33" t="s">
        <v>271</v>
      </c>
      <c r="B33" t="str">
        <f>vshours!$A$1</f>
        <v>Figure 1.1.  Government Safety Net Benefit Rules Compared with Hours Not At Work</v>
      </c>
    </row>
    <row r="34" spans="1:2">
      <c r="A34" t="s">
        <v>338</v>
      </c>
      <c r="B34" t="str">
        <f>OtherElgBen!K3</f>
        <v>Figure 3.2.  Statutory Changes in Safety Net Eligibility</v>
      </c>
    </row>
    <row r="35" spans="1:2">
      <c r="A35" t="s">
        <v>339</v>
      </c>
      <c r="B35" t="str">
        <f>OtherElgBen!K4</f>
        <v>Figure 3.3.  Statutory Safety Net Benefits per Non-elderly Participant</v>
      </c>
    </row>
    <row r="36" spans="1:2">
      <c r="A36" t="s">
        <v>279</v>
      </c>
      <c r="B36" t="str">
        <f>OtherElgBen!K5</f>
        <v>Figure 3.4.  Statutory Government Safety Net Generosity</v>
      </c>
    </row>
    <row r="37" spans="1:2">
      <c r="A37" t="s">
        <v>340</v>
      </c>
      <c r="B37" t="s">
        <v>353</v>
      </c>
    </row>
    <row r="38" spans="1:2">
      <c r="A38" t="s">
        <v>352</v>
      </c>
      <c r="B38" t="str">
        <f>Quarterly!A1</f>
        <v>Figure 3.7.  Labor Market Distortions Measured from Productivity, Wages, and Safety Net Statutes</v>
      </c>
    </row>
    <row r="39" spans="1:2">
      <c r="A39" t="s">
        <v>397</v>
      </c>
      <c r="B39" t="str">
        <f>Tbl3.8!A1</f>
        <v>Table 3.8.  Self-Reliance Rate Changes: Sensitivity Analysis</v>
      </c>
    </row>
    <row r="40" spans="1:2">
      <c r="A40" t="s">
        <v>341</v>
      </c>
      <c r="B40" t="str">
        <f>Tbl3.9!A1&amp;" "&amp;Tbl3.9!A2</f>
        <v>Table 3.9.  Overall Safety Net Generosity, 2010 $ per Month, Displayed with its UI and SNAP Components</v>
      </c>
    </row>
    <row r="41" spans="1:2">
      <c r="A41" t="s">
        <v>399</v>
      </c>
      <c r="B41" t="str">
        <f>Decomposition!A1</f>
        <v>Figure 11.2.  Decomposition of 2007-Q4 to 2009-Q4 real safety net generosity changes, person characteristics held constant</v>
      </c>
    </row>
  </sheetData>
  <hyperlinks>
    <hyperlink ref="C12" r:id="rId1"/>
    <hyperlink ref="C17" r:id="rId2"/>
    <hyperlink ref="D17"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F25"/>
  <sheetViews>
    <sheetView workbookViewId="0"/>
  </sheetViews>
  <sheetFormatPr defaultRowHeight="15"/>
  <cols>
    <col min="1" max="1" width="54.5703125" bestFit="1" customWidth="1"/>
    <col min="2" max="3" width="10.85546875" bestFit="1" customWidth="1"/>
  </cols>
  <sheetData>
    <row r="1" spans="1:6">
      <c r="A1" s="33" t="s">
        <v>165</v>
      </c>
    </row>
    <row r="3" spans="1:6">
      <c r="B3" s="91" t="s">
        <v>100</v>
      </c>
      <c r="C3" s="91"/>
    </row>
    <row r="4" spans="1:6">
      <c r="A4" s="5" t="s">
        <v>33</v>
      </c>
      <c r="B4" s="5">
        <v>2007</v>
      </c>
      <c r="C4" s="5">
        <v>2010</v>
      </c>
      <c r="D4" s="6" t="s">
        <v>34</v>
      </c>
      <c r="E4" s="6" t="s">
        <v>101</v>
      </c>
    </row>
    <row r="5" spans="1:6">
      <c r="B5" s="7"/>
      <c r="C5" s="7"/>
    </row>
    <row r="6" spans="1:6">
      <c r="B6" s="7"/>
      <c r="C6" s="7"/>
    </row>
    <row r="7" spans="1:6">
      <c r="B7" s="7"/>
      <c r="C7" s="7"/>
      <c r="F7" s="38"/>
    </row>
    <row r="8" spans="1:6">
      <c r="B8" s="7"/>
      <c r="C8" s="7"/>
    </row>
    <row r="9" spans="1:6">
      <c r="B9" s="7"/>
      <c r="C9" s="7"/>
    </row>
    <row r="10" spans="1:6">
      <c r="B10" s="7"/>
      <c r="C10" s="7"/>
    </row>
    <row r="11" spans="1:6">
      <c r="C11" s="24"/>
      <c r="F11" s="38"/>
    </row>
    <row r="12" spans="1:6">
      <c r="C12" s="18"/>
    </row>
    <row r="13" spans="1:6">
      <c r="B13" s="91" t="s">
        <v>104</v>
      </c>
      <c r="C13" s="91"/>
    </row>
    <row r="14" spans="1:6">
      <c r="B14" s="5">
        <v>2007</v>
      </c>
      <c r="C14" s="5">
        <v>2010</v>
      </c>
      <c r="D14" s="6" t="s">
        <v>34</v>
      </c>
      <c r="E14" s="6" t="s">
        <v>101</v>
      </c>
    </row>
    <row r="15" spans="1:6">
      <c r="A15" t="s">
        <v>166</v>
      </c>
      <c r="B15" s="12">
        <v>42278750.18</v>
      </c>
      <c r="C15" s="12">
        <v>50314643.549999997</v>
      </c>
      <c r="E15" s="7">
        <f>C15-B15</f>
        <v>8035893.3699999973</v>
      </c>
      <c r="F15" s="37" t="s">
        <v>167</v>
      </c>
    </row>
    <row r="16" spans="1:6">
      <c r="A16" t="s">
        <v>168</v>
      </c>
      <c r="D16" s="15">
        <v>7.0559722609320918E-2</v>
      </c>
      <c r="F16" s="37" t="s">
        <v>171</v>
      </c>
    </row>
    <row r="17" spans="1:6">
      <c r="A17" t="s">
        <v>169</v>
      </c>
      <c r="B17" s="7">
        <f>B15*(1-$D$16)</f>
        <v>39295573.295030423</v>
      </c>
      <c r="C17" s="7">
        <f>C15*(1-$D$16)</f>
        <v>46764456.257925145</v>
      </c>
      <c r="E17" s="7">
        <f>C17-($C$19*B17/$B$19)</f>
        <v>6449863.4654839933</v>
      </c>
    </row>
    <row r="18" spans="1:6">
      <c r="A18" t="s">
        <v>103</v>
      </c>
      <c r="B18" s="7">
        <f>VLOOKUP(B$14,CPSMORG!$A$7:$F$11,6)*1000000</f>
        <v>33536409.999999996</v>
      </c>
      <c r="C18" s="7">
        <f>VLOOKUP(C$14,CPSMORG!$A$7:$F$11,6)*1000000</f>
        <v>41297890</v>
      </c>
      <c r="D18" s="34"/>
      <c r="E18" s="7">
        <f>C18-($C$19*B18/$B$19)</f>
        <v>6891808.1057492048</v>
      </c>
    </row>
    <row r="19" spans="1:6">
      <c r="A19" t="s">
        <v>170</v>
      </c>
      <c r="B19" s="7">
        <f>VLOOKUP(DATE(B$14,1,1),FREDconnect!$C$8:$D$15,2)*1000</f>
        <v>301903000</v>
      </c>
      <c r="C19" s="7">
        <f>VLOOKUP(DATE(C$14,1,1),FREDconnect!$C$8:$D$15,2)*1000</f>
        <v>309732000</v>
      </c>
    </row>
    <row r="20" spans="1:6">
      <c r="E20" s="24">
        <f>E17/E18</f>
        <v>0.93587391966173039</v>
      </c>
      <c r="F20" s="38" t="s">
        <v>172</v>
      </c>
    </row>
    <row r="21" spans="1:6">
      <c r="A21" t="s">
        <v>174</v>
      </c>
      <c r="B21" s="7"/>
      <c r="E21" s="15">
        <v>0.5</v>
      </c>
    </row>
    <row r="22" spans="1:6">
      <c r="A22" t="s">
        <v>304</v>
      </c>
      <c r="B22" s="12">
        <f>324.064/12</f>
        <v>27.005333333333336</v>
      </c>
      <c r="C22" s="12">
        <f>405.368/12</f>
        <v>33.780666666666669</v>
      </c>
    </row>
    <row r="23" spans="1:6">
      <c r="A23" t="s">
        <v>305</v>
      </c>
      <c r="B23" s="19">
        <f>VLOOKUP(DATE(B$14,1,1),FREDconnect!$C$8:$J$16,8)</f>
        <v>105.499</v>
      </c>
      <c r="C23" s="19">
        <f>VLOOKUP(DATE(C$14,1,1),FREDconnect!$C$8:$J$16,8)</f>
        <v>111.11199999999999</v>
      </c>
    </row>
    <row r="24" spans="1:6">
      <c r="A24" t="s">
        <v>306</v>
      </c>
      <c r="B24" s="61">
        <f>B22*SNAPBen!$B$13/B23</f>
        <v>28.352050450188582</v>
      </c>
      <c r="C24" s="61">
        <f>C22*SNAPBen!$B$13/C23</f>
        <v>33.673675706094357</v>
      </c>
    </row>
    <row r="25" spans="1:6">
      <c r="A25" t="s">
        <v>307</v>
      </c>
      <c r="B25" s="7">
        <f>B24*1000000000/B15</f>
        <v>670.59812150266794</v>
      </c>
      <c r="C25" s="7">
        <f>C24*1000000000/C15</f>
        <v>669.2619350990982</v>
      </c>
      <c r="D25" s="7">
        <f>AVERAGE(B25:C25)</f>
        <v>669.93002830088312</v>
      </c>
    </row>
  </sheetData>
  <mergeCells count="2">
    <mergeCell ref="B3:C3"/>
    <mergeCell ref="B13:C13"/>
  </mergeCells>
  <hyperlinks>
    <hyperlink ref="F15" r:id="rId1"/>
    <hyperlink ref="F16" r:id="rId2" display="https://www.cms.gov/MedicareMedicaidStatSupp/downloads/2010Medicaid.zip, Table 13.4"/>
  </hyperlinks>
  <pageMargins left="0.7" right="0.7" top="0.75" bottom="0.75" header="0.3" footer="0.3"/>
  <legacyDrawing r:id="rId3"/>
</worksheet>
</file>

<file path=xl/worksheets/sheet11.xml><?xml version="1.0" encoding="utf-8"?>
<worksheet xmlns="http://schemas.openxmlformats.org/spreadsheetml/2006/main" xmlns:r="http://schemas.openxmlformats.org/officeDocument/2006/relationships">
  <dimension ref="A1:M144"/>
  <sheetViews>
    <sheetView workbookViewId="0"/>
  </sheetViews>
  <sheetFormatPr defaultRowHeight="15"/>
  <cols>
    <col min="1" max="1" width="36.5703125" bestFit="1" customWidth="1"/>
    <col min="2" max="2" width="9.85546875" customWidth="1"/>
    <col min="3" max="10" width="9.140625" customWidth="1"/>
  </cols>
  <sheetData>
    <row r="1" spans="1:12">
      <c r="A1" s="1" t="s">
        <v>253</v>
      </c>
    </row>
    <row r="2" spans="1:12">
      <c r="A2" s="1"/>
    </row>
    <row r="3" spans="1:12">
      <c r="A3" t="s">
        <v>1</v>
      </c>
      <c r="B3" t="s">
        <v>258</v>
      </c>
      <c r="I3" t="s">
        <v>150</v>
      </c>
      <c r="J3" s="27" t="s">
        <v>280</v>
      </c>
      <c r="K3" t="str">
        <f>"Figure "&amp;J3&amp;".  Statutory Changes in Safety Net Eligibility"</f>
        <v>Figure 3.2.  Statutory Changes in Safety Net Eligibility</v>
      </c>
      <c r="L3" t="s">
        <v>326</v>
      </c>
    </row>
    <row r="4" spans="1:12">
      <c r="I4" t="s">
        <v>150</v>
      </c>
      <c r="J4" s="27" t="s">
        <v>281</v>
      </c>
      <c r="K4" t="str">
        <f>"Figure "&amp;J4&amp;".  Statutory Safety Net Benefits per Non-elderly Participant"</f>
        <v>Figure 3.3.  Statutory Safety Net Benefits per Non-elderly Participant</v>
      </c>
    </row>
    <row r="5" spans="1:12">
      <c r="A5" s="5" t="s">
        <v>33</v>
      </c>
      <c r="B5" s="6" t="s">
        <v>248</v>
      </c>
      <c r="I5" t="s">
        <v>150</v>
      </c>
      <c r="J5" s="27" t="s">
        <v>282</v>
      </c>
      <c r="K5" t="str">
        <f>"Figure "&amp;J5&amp;".  Statutory Government Safety Net Generosity"</f>
        <v>Figure 3.4.  Statutory Government Safety Net Generosity</v>
      </c>
      <c r="L5" t="s">
        <v>283</v>
      </c>
    </row>
    <row r="6" spans="1:12">
      <c r="A6" t="s">
        <v>254</v>
      </c>
      <c r="B6" s="56">
        <v>95.781081939829093</v>
      </c>
    </row>
    <row r="7" spans="1:12">
      <c r="A7" t="s">
        <v>249</v>
      </c>
      <c r="B7" s="7">
        <f>(VLOOKUP(2010,CPSMORG!$A$13:$F$17,6)-UIWeights!$C$7*VLOOKUP(2010,CPSMORG!$A$13:$F$17,2))*1000000</f>
        <v>34161569.7893603</v>
      </c>
    </row>
    <row r="8" spans="1:12">
      <c r="A8" t="s">
        <v>250</v>
      </c>
      <c r="B8" s="53">
        <f>B6*1000000000/B7</f>
        <v>2803.7669969621925</v>
      </c>
    </row>
    <row r="9" spans="1:12">
      <c r="A9" s="5"/>
    </row>
    <row r="10" spans="1:12">
      <c r="A10" s="5"/>
      <c r="B10" s="5"/>
    </row>
    <row r="18" spans="1:13">
      <c r="B18" t="s">
        <v>38</v>
      </c>
      <c r="K18" s="16" t="s">
        <v>251</v>
      </c>
      <c r="M18" s="16" t="s">
        <v>252</v>
      </c>
    </row>
    <row r="19" spans="1:13">
      <c r="A19" t="s">
        <v>40</v>
      </c>
      <c r="K19" s="16"/>
    </row>
    <row r="20" spans="1:13">
      <c r="A20" t="s">
        <v>41</v>
      </c>
      <c r="K20" s="16"/>
    </row>
    <row r="21" spans="1:13">
      <c r="A21" t="s">
        <v>7</v>
      </c>
      <c r="K21" s="16"/>
    </row>
    <row r="22" spans="1:13">
      <c r="A22" t="s">
        <v>18</v>
      </c>
      <c r="K22" s="16"/>
    </row>
    <row r="23" spans="1:13">
      <c r="A23" t="s">
        <v>19</v>
      </c>
      <c r="K23" s="16"/>
    </row>
    <row r="24" spans="1:13">
      <c r="A24" t="s">
        <v>20</v>
      </c>
      <c r="K24" s="16"/>
    </row>
    <row r="25" spans="1:13">
      <c r="A25" t="s">
        <v>21</v>
      </c>
      <c r="K25" s="16"/>
    </row>
    <row r="26" spans="1:13">
      <c r="K26" s="16"/>
    </row>
    <row r="27" spans="1:13">
      <c r="A27" s="2" t="s">
        <v>30</v>
      </c>
      <c r="B27" s="8">
        <f>AVERAGE(B$74:B$85)</f>
        <v>1</v>
      </c>
      <c r="C27" s="8"/>
      <c r="D27" s="8"/>
      <c r="E27" s="8"/>
      <c r="F27" s="8"/>
      <c r="G27" s="8"/>
      <c r="H27" s="8"/>
      <c r="I27" s="8"/>
      <c r="J27" s="8"/>
      <c r="K27" s="17">
        <f t="shared" ref="K27:M27" si="0">AVERAGE(K$74:K$85)</f>
        <v>1</v>
      </c>
      <c r="M27" s="24">
        <f t="shared" si="0"/>
        <v>233.64724974684938</v>
      </c>
    </row>
    <row r="28" spans="1:13">
      <c r="K28" s="16"/>
    </row>
    <row r="29" spans="1:13">
      <c r="A29" s="4">
        <v>38718</v>
      </c>
      <c r="B29" s="8">
        <v>1</v>
      </c>
      <c r="C29" s="8"/>
      <c r="D29" s="8"/>
      <c r="E29" s="8"/>
      <c r="F29" s="8"/>
      <c r="G29" s="8"/>
      <c r="H29" s="8"/>
      <c r="I29" s="8"/>
      <c r="J29" s="8"/>
      <c r="K29" s="17">
        <f>B29/B$27</f>
        <v>1</v>
      </c>
      <c r="M29" s="24">
        <f>$B$8/12</f>
        <v>233.64724974684938</v>
      </c>
    </row>
    <row r="30" spans="1:13">
      <c r="A30" s="4">
        <v>38749</v>
      </c>
      <c r="B30" s="8">
        <v>1</v>
      </c>
      <c r="C30" s="8"/>
      <c r="D30" s="8"/>
      <c r="E30" s="8"/>
      <c r="F30" s="8"/>
      <c r="G30" s="8"/>
      <c r="H30" s="8"/>
      <c r="I30" s="8"/>
      <c r="J30" s="8"/>
      <c r="K30" s="17">
        <f t="shared" ref="K30:K93" si="1">B30/B$27</f>
        <v>1</v>
      </c>
      <c r="M30" s="24">
        <f t="shared" ref="M30:M93" si="2">$B$8/12</f>
        <v>233.64724974684938</v>
      </c>
    </row>
    <row r="31" spans="1:13">
      <c r="A31" s="4">
        <v>38777</v>
      </c>
      <c r="B31" s="8">
        <v>1</v>
      </c>
      <c r="C31" s="8"/>
      <c r="D31" s="8"/>
      <c r="E31" s="8"/>
      <c r="F31" s="8"/>
      <c r="G31" s="8"/>
      <c r="H31" s="8"/>
      <c r="I31" s="8"/>
      <c r="J31" s="8"/>
      <c r="K31" s="17">
        <f t="shared" si="1"/>
        <v>1</v>
      </c>
      <c r="M31" s="24">
        <f t="shared" si="2"/>
        <v>233.64724974684938</v>
      </c>
    </row>
    <row r="32" spans="1:13">
      <c r="A32" s="4">
        <v>38808</v>
      </c>
      <c r="B32" s="8">
        <v>1</v>
      </c>
      <c r="C32" s="8"/>
      <c r="D32" s="8"/>
      <c r="E32" s="8"/>
      <c r="F32" s="8"/>
      <c r="G32" s="8"/>
      <c r="H32" s="8"/>
      <c r="I32" s="8"/>
      <c r="J32" s="8"/>
      <c r="K32" s="17">
        <f t="shared" si="1"/>
        <v>1</v>
      </c>
      <c r="M32" s="24">
        <f t="shared" si="2"/>
        <v>233.64724974684938</v>
      </c>
    </row>
    <row r="33" spans="1:13">
      <c r="A33" s="4">
        <v>38838</v>
      </c>
      <c r="B33" s="8">
        <v>1</v>
      </c>
      <c r="C33" s="8"/>
      <c r="D33" s="8"/>
      <c r="E33" s="8"/>
      <c r="F33" s="8"/>
      <c r="G33" s="8"/>
      <c r="H33" s="8"/>
      <c r="I33" s="8"/>
      <c r="J33" s="8"/>
      <c r="K33" s="17">
        <f t="shared" si="1"/>
        <v>1</v>
      </c>
      <c r="M33" s="24">
        <f t="shared" si="2"/>
        <v>233.64724974684938</v>
      </c>
    </row>
    <row r="34" spans="1:13">
      <c r="A34" s="4">
        <v>38869</v>
      </c>
      <c r="B34" s="8">
        <v>1</v>
      </c>
      <c r="C34" s="8"/>
      <c r="D34" s="8"/>
      <c r="E34" s="8"/>
      <c r="F34" s="8"/>
      <c r="G34" s="8"/>
      <c r="H34" s="8"/>
      <c r="I34" s="8"/>
      <c r="J34" s="8"/>
      <c r="K34" s="17">
        <f t="shared" si="1"/>
        <v>1</v>
      </c>
      <c r="M34" s="24">
        <f t="shared" si="2"/>
        <v>233.64724974684938</v>
      </c>
    </row>
    <row r="35" spans="1:13">
      <c r="A35" s="4">
        <v>38899</v>
      </c>
      <c r="B35" s="8">
        <v>1</v>
      </c>
      <c r="C35" s="8"/>
      <c r="D35" s="8"/>
      <c r="E35" s="8"/>
      <c r="F35" s="8"/>
      <c r="G35" s="8"/>
      <c r="H35" s="8"/>
      <c r="I35" s="8"/>
      <c r="J35" s="8"/>
      <c r="K35" s="17">
        <f t="shared" si="1"/>
        <v>1</v>
      </c>
      <c r="M35" s="24">
        <f t="shared" si="2"/>
        <v>233.64724974684938</v>
      </c>
    </row>
    <row r="36" spans="1:13">
      <c r="A36" s="4">
        <v>38930</v>
      </c>
      <c r="B36" s="8">
        <v>1</v>
      </c>
      <c r="C36" s="8"/>
      <c r="D36" s="8"/>
      <c r="E36" s="8"/>
      <c r="F36" s="8"/>
      <c r="G36" s="8"/>
      <c r="H36" s="8"/>
      <c r="I36" s="8"/>
      <c r="J36" s="8"/>
      <c r="K36" s="17">
        <f t="shared" si="1"/>
        <v>1</v>
      </c>
      <c r="M36" s="24">
        <f t="shared" si="2"/>
        <v>233.64724974684938</v>
      </c>
    </row>
    <row r="37" spans="1:13">
      <c r="A37" s="4">
        <v>38961</v>
      </c>
      <c r="B37" s="8">
        <v>1</v>
      </c>
      <c r="C37" s="8"/>
      <c r="D37" s="8"/>
      <c r="E37" s="8"/>
      <c r="F37" s="8"/>
      <c r="G37" s="8"/>
      <c r="H37" s="8"/>
      <c r="I37" s="8"/>
      <c r="J37" s="8"/>
      <c r="K37" s="17">
        <f t="shared" si="1"/>
        <v>1</v>
      </c>
      <c r="M37" s="24">
        <f t="shared" si="2"/>
        <v>233.64724974684938</v>
      </c>
    </row>
    <row r="38" spans="1:13">
      <c r="A38" s="4">
        <v>38991</v>
      </c>
      <c r="B38" s="8">
        <v>1</v>
      </c>
      <c r="C38" s="8"/>
      <c r="D38" s="8"/>
      <c r="E38" s="8"/>
      <c r="F38" s="8"/>
      <c r="G38" s="8"/>
      <c r="H38" s="8"/>
      <c r="I38" s="8"/>
      <c r="J38" s="8"/>
      <c r="K38" s="17">
        <f t="shared" si="1"/>
        <v>1</v>
      </c>
      <c r="M38" s="24">
        <f t="shared" si="2"/>
        <v>233.64724974684938</v>
      </c>
    </row>
    <row r="39" spans="1:13">
      <c r="A39" s="4">
        <v>39022</v>
      </c>
      <c r="B39" s="8">
        <v>1</v>
      </c>
      <c r="C39" s="8"/>
      <c r="D39" s="8"/>
      <c r="E39" s="8"/>
      <c r="F39" s="8"/>
      <c r="G39" s="8"/>
      <c r="H39" s="8"/>
      <c r="I39" s="8"/>
      <c r="J39" s="8"/>
      <c r="K39" s="17">
        <f t="shared" si="1"/>
        <v>1</v>
      </c>
      <c r="M39" s="24">
        <f t="shared" si="2"/>
        <v>233.64724974684938</v>
      </c>
    </row>
    <row r="40" spans="1:13">
      <c r="A40" s="4">
        <v>39052</v>
      </c>
      <c r="B40" s="8">
        <v>1</v>
      </c>
      <c r="C40" s="8"/>
      <c r="D40" s="8"/>
      <c r="E40" s="8"/>
      <c r="F40" s="8"/>
      <c r="G40" s="8"/>
      <c r="H40" s="8"/>
      <c r="I40" s="8"/>
      <c r="J40" s="8"/>
      <c r="K40" s="17">
        <f t="shared" si="1"/>
        <v>1</v>
      </c>
      <c r="M40" s="24">
        <f t="shared" si="2"/>
        <v>233.64724974684938</v>
      </c>
    </row>
    <row r="41" spans="1:13">
      <c r="A41" s="4">
        <v>39083</v>
      </c>
      <c r="B41" s="8">
        <v>1</v>
      </c>
      <c r="C41" s="8"/>
      <c r="D41" s="8"/>
      <c r="E41" s="8"/>
      <c r="F41" s="8"/>
      <c r="G41" s="8"/>
      <c r="H41" s="8"/>
      <c r="I41" s="8"/>
      <c r="J41" s="8"/>
      <c r="K41" s="17">
        <f t="shared" si="1"/>
        <v>1</v>
      </c>
      <c r="M41" s="24">
        <f t="shared" si="2"/>
        <v>233.64724974684938</v>
      </c>
    </row>
    <row r="42" spans="1:13">
      <c r="A42" s="4">
        <v>39114</v>
      </c>
      <c r="B42" s="8">
        <v>1</v>
      </c>
      <c r="C42" s="8"/>
      <c r="D42" s="8"/>
      <c r="E42" s="8"/>
      <c r="F42" s="8"/>
      <c r="G42" s="8"/>
      <c r="H42" s="8"/>
      <c r="I42" s="8"/>
      <c r="J42" s="8"/>
      <c r="K42" s="17">
        <f t="shared" si="1"/>
        <v>1</v>
      </c>
      <c r="M42" s="24">
        <f t="shared" si="2"/>
        <v>233.64724974684938</v>
      </c>
    </row>
    <row r="43" spans="1:13">
      <c r="A43" s="4">
        <v>39142</v>
      </c>
      <c r="B43" s="8">
        <v>1</v>
      </c>
      <c r="C43" s="8"/>
      <c r="D43" s="8"/>
      <c r="E43" s="8"/>
      <c r="F43" s="8"/>
      <c r="G43" s="8"/>
      <c r="H43" s="8"/>
      <c r="I43" s="8"/>
      <c r="J43" s="8"/>
      <c r="K43" s="17">
        <f t="shared" si="1"/>
        <v>1</v>
      </c>
      <c r="M43" s="24">
        <f t="shared" si="2"/>
        <v>233.64724974684938</v>
      </c>
    </row>
    <row r="44" spans="1:13">
      <c r="A44" s="4">
        <v>39173</v>
      </c>
      <c r="B44" s="8">
        <v>1</v>
      </c>
      <c r="C44" s="8"/>
      <c r="D44" s="8"/>
      <c r="E44" s="8"/>
      <c r="F44" s="8"/>
      <c r="G44" s="8"/>
      <c r="H44" s="8"/>
      <c r="I44" s="8"/>
      <c r="J44" s="8"/>
      <c r="K44" s="17">
        <f t="shared" si="1"/>
        <v>1</v>
      </c>
      <c r="M44" s="24">
        <f t="shared" si="2"/>
        <v>233.64724974684938</v>
      </c>
    </row>
    <row r="45" spans="1:13">
      <c r="A45" s="4">
        <v>39203</v>
      </c>
      <c r="B45" s="8">
        <v>1</v>
      </c>
      <c r="C45" s="8"/>
      <c r="D45" s="8"/>
      <c r="E45" s="8"/>
      <c r="F45" s="8"/>
      <c r="G45" s="8"/>
      <c r="H45" s="8"/>
      <c r="I45" s="8"/>
      <c r="J45" s="8"/>
      <c r="K45" s="17">
        <f t="shared" si="1"/>
        <v>1</v>
      </c>
      <c r="M45" s="24">
        <f t="shared" si="2"/>
        <v>233.64724974684938</v>
      </c>
    </row>
    <row r="46" spans="1:13">
      <c r="A46" s="4">
        <v>39234</v>
      </c>
      <c r="B46" s="8">
        <v>1</v>
      </c>
      <c r="C46" s="8"/>
      <c r="D46" s="8"/>
      <c r="E46" s="8"/>
      <c r="F46" s="8"/>
      <c r="G46" s="8"/>
      <c r="H46" s="8"/>
      <c r="I46" s="8"/>
      <c r="J46" s="8"/>
      <c r="K46" s="17">
        <f t="shared" si="1"/>
        <v>1</v>
      </c>
      <c r="M46" s="24">
        <f t="shared" si="2"/>
        <v>233.64724974684938</v>
      </c>
    </row>
    <row r="47" spans="1:13">
      <c r="A47" s="4">
        <v>39264</v>
      </c>
      <c r="B47" s="8">
        <v>1</v>
      </c>
      <c r="C47" s="8"/>
      <c r="D47" s="8"/>
      <c r="E47" s="8"/>
      <c r="F47" s="8"/>
      <c r="G47" s="8"/>
      <c r="H47" s="8"/>
      <c r="I47" s="8"/>
      <c r="J47" s="8"/>
      <c r="K47" s="17">
        <f t="shared" si="1"/>
        <v>1</v>
      </c>
      <c r="M47" s="24">
        <f t="shared" si="2"/>
        <v>233.64724974684938</v>
      </c>
    </row>
    <row r="48" spans="1:13">
      <c r="A48" s="4">
        <v>39295</v>
      </c>
      <c r="B48" s="8">
        <v>1</v>
      </c>
      <c r="C48" s="8"/>
      <c r="D48" s="8"/>
      <c r="E48" s="8"/>
      <c r="F48" s="8"/>
      <c r="G48" s="8"/>
      <c r="H48" s="8"/>
      <c r="I48" s="8"/>
      <c r="J48" s="8"/>
      <c r="K48" s="17">
        <f t="shared" si="1"/>
        <v>1</v>
      </c>
      <c r="M48" s="24">
        <f t="shared" si="2"/>
        <v>233.64724974684938</v>
      </c>
    </row>
    <row r="49" spans="1:13">
      <c r="A49" s="4">
        <v>39326</v>
      </c>
      <c r="B49" s="8">
        <v>1</v>
      </c>
      <c r="C49" s="8"/>
      <c r="D49" s="8"/>
      <c r="E49" s="8"/>
      <c r="F49" s="8"/>
      <c r="G49" s="8"/>
      <c r="H49" s="8"/>
      <c r="I49" s="8"/>
      <c r="J49" s="8"/>
      <c r="K49" s="17">
        <f t="shared" si="1"/>
        <v>1</v>
      </c>
      <c r="M49" s="24">
        <f t="shared" si="2"/>
        <v>233.64724974684938</v>
      </c>
    </row>
    <row r="50" spans="1:13">
      <c r="A50" s="4">
        <v>39356</v>
      </c>
      <c r="B50" s="8">
        <v>1</v>
      </c>
      <c r="C50" s="8"/>
      <c r="D50" s="8"/>
      <c r="E50" s="8"/>
      <c r="F50" s="8"/>
      <c r="G50" s="8"/>
      <c r="H50" s="8"/>
      <c r="I50" s="8"/>
      <c r="J50" s="8"/>
      <c r="K50" s="17">
        <f t="shared" si="1"/>
        <v>1</v>
      </c>
      <c r="M50" s="24">
        <f t="shared" si="2"/>
        <v>233.64724974684938</v>
      </c>
    </row>
    <row r="51" spans="1:13">
      <c r="A51" s="4">
        <v>39387</v>
      </c>
      <c r="B51" s="8">
        <v>1</v>
      </c>
      <c r="C51" s="8"/>
      <c r="D51" s="8"/>
      <c r="E51" s="8"/>
      <c r="F51" s="8"/>
      <c r="G51" s="8"/>
      <c r="H51" s="8"/>
      <c r="I51" s="8"/>
      <c r="J51" s="8"/>
      <c r="K51" s="17">
        <f t="shared" si="1"/>
        <v>1</v>
      </c>
      <c r="M51" s="24">
        <f t="shared" si="2"/>
        <v>233.64724974684938</v>
      </c>
    </row>
    <row r="52" spans="1:13">
      <c r="A52" s="4">
        <v>39417</v>
      </c>
      <c r="B52" s="8">
        <v>1</v>
      </c>
      <c r="C52" s="8"/>
      <c r="D52" s="8"/>
      <c r="E52" s="8"/>
      <c r="F52" s="8"/>
      <c r="G52" s="8"/>
      <c r="H52" s="8"/>
      <c r="I52" s="8"/>
      <c r="J52" s="8"/>
      <c r="K52" s="17">
        <f t="shared" si="1"/>
        <v>1</v>
      </c>
      <c r="M52" s="24">
        <f t="shared" si="2"/>
        <v>233.64724974684938</v>
      </c>
    </row>
    <row r="53" spans="1:13">
      <c r="A53" s="4">
        <v>39448</v>
      </c>
      <c r="B53" s="8">
        <v>1</v>
      </c>
      <c r="C53" s="8"/>
      <c r="D53" s="8"/>
      <c r="E53" s="8"/>
      <c r="F53" s="8"/>
      <c r="G53" s="8"/>
      <c r="H53" s="8"/>
      <c r="I53" s="8"/>
      <c r="J53" s="8"/>
      <c r="K53" s="17">
        <f t="shared" si="1"/>
        <v>1</v>
      </c>
      <c r="M53" s="24">
        <f t="shared" si="2"/>
        <v>233.64724974684938</v>
      </c>
    </row>
    <row r="54" spans="1:13">
      <c r="A54" s="4">
        <v>39479</v>
      </c>
      <c r="B54" s="8">
        <v>1</v>
      </c>
      <c r="C54" s="8"/>
      <c r="D54" s="8"/>
      <c r="E54" s="8"/>
      <c r="F54" s="8"/>
      <c r="G54" s="8"/>
      <c r="H54" s="8"/>
      <c r="I54" s="8"/>
      <c r="J54" s="8"/>
      <c r="K54" s="17">
        <f t="shared" si="1"/>
        <v>1</v>
      </c>
      <c r="M54" s="24">
        <f t="shared" si="2"/>
        <v>233.64724974684938</v>
      </c>
    </row>
    <row r="55" spans="1:13">
      <c r="A55" s="4">
        <v>39508</v>
      </c>
      <c r="B55" s="8">
        <v>1</v>
      </c>
      <c r="C55" s="8"/>
      <c r="D55" s="8"/>
      <c r="E55" s="8"/>
      <c r="F55" s="8"/>
      <c r="G55" s="8"/>
      <c r="H55" s="8"/>
      <c r="I55" s="8"/>
      <c r="J55" s="8"/>
      <c r="K55" s="17">
        <f t="shared" si="1"/>
        <v>1</v>
      </c>
      <c r="M55" s="24">
        <f t="shared" si="2"/>
        <v>233.64724974684938</v>
      </c>
    </row>
    <row r="56" spans="1:13">
      <c r="A56" s="4">
        <v>39539</v>
      </c>
      <c r="B56" s="8">
        <v>1</v>
      </c>
      <c r="C56" s="8"/>
      <c r="D56" s="8"/>
      <c r="E56" s="8"/>
      <c r="F56" s="8"/>
      <c r="G56" s="8"/>
      <c r="H56" s="8"/>
      <c r="I56" s="8"/>
      <c r="J56" s="8"/>
      <c r="K56" s="17">
        <f t="shared" si="1"/>
        <v>1</v>
      </c>
      <c r="M56" s="24">
        <f t="shared" si="2"/>
        <v>233.64724974684938</v>
      </c>
    </row>
    <row r="57" spans="1:13">
      <c r="A57" s="4">
        <v>39569</v>
      </c>
      <c r="B57" s="8">
        <v>1</v>
      </c>
      <c r="C57" s="8"/>
      <c r="D57" s="8"/>
      <c r="E57" s="8"/>
      <c r="F57" s="8"/>
      <c r="G57" s="8"/>
      <c r="H57" s="8"/>
      <c r="I57" s="8"/>
      <c r="J57" s="8"/>
      <c r="K57" s="17">
        <f t="shared" si="1"/>
        <v>1</v>
      </c>
      <c r="M57" s="24">
        <f t="shared" si="2"/>
        <v>233.64724974684938</v>
      </c>
    </row>
    <row r="58" spans="1:13">
      <c r="A58" s="4">
        <v>39600</v>
      </c>
      <c r="B58" s="8">
        <v>1</v>
      </c>
      <c r="C58" s="8"/>
      <c r="D58" s="8"/>
      <c r="E58" s="8"/>
      <c r="F58" s="8"/>
      <c r="G58" s="8"/>
      <c r="H58" s="8"/>
      <c r="I58" s="8"/>
      <c r="J58" s="8"/>
      <c r="K58" s="17">
        <f t="shared" si="1"/>
        <v>1</v>
      </c>
      <c r="M58" s="24">
        <f t="shared" si="2"/>
        <v>233.64724974684938</v>
      </c>
    </row>
    <row r="59" spans="1:13">
      <c r="A59" s="4">
        <v>39630</v>
      </c>
      <c r="B59" s="8">
        <v>1</v>
      </c>
      <c r="C59" s="8"/>
      <c r="D59" s="8"/>
      <c r="E59" s="8"/>
      <c r="F59" s="8"/>
      <c r="G59" s="8"/>
      <c r="H59" s="8"/>
      <c r="I59" s="8"/>
      <c r="J59" s="8"/>
      <c r="K59" s="17">
        <f t="shared" si="1"/>
        <v>1</v>
      </c>
      <c r="M59" s="24">
        <f t="shared" si="2"/>
        <v>233.64724974684938</v>
      </c>
    </row>
    <row r="60" spans="1:13">
      <c r="A60" s="4">
        <v>39661</v>
      </c>
      <c r="B60" s="8">
        <v>1</v>
      </c>
      <c r="C60" s="8"/>
      <c r="D60" s="8"/>
      <c r="E60" s="8"/>
      <c r="F60" s="8"/>
      <c r="G60" s="8"/>
      <c r="H60" s="8"/>
      <c r="I60" s="8"/>
      <c r="J60" s="8"/>
      <c r="K60" s="17">
        <f t="shared" si="1"/>
        <v>1</v>
      </c>
      <c r="M60" s="24">
        <f t="shared" si="2"/>
        <v>233.64724974684938</v>
      </c>
    </row>
    <row r="61" spans="1:13">
      <c r="A61" s="4">
        <v>39692</v>
      </c>
      <c r="B61" s="8">
        <v>1</v>
      </c>
      <c r="C61" s="8"/>
      <c r="D61" s="8"/>
      <c r="E61" s="8"/>
      <c r="F61" s="8"/>
      <c r="G61" s="8"/>
      <c r="H61" s="8"/>
      <c r="I61" s="8"/>
      <c r="J61" s="8"/>
      <c r="K61" s="17">
        <f t="shared" si="1"/>
        <v>1</v>
      </c>
      <c r="M61" s="24">
        <f t="shared" si="2"/>
        <v>233.64724974684938</v>
      </c>
    </row>
    <row r="62" spans="1:13">
      <c r="A62" s="4">
        <v>39722</v>
      </c>
      <c r="B62" s="8">
        <v>1</v>
      </c>
      <c r="C62" s="8"/>
      <c r="D62" s="8"/>
      <c r="E62" s="8"/>
      <c r="F62" s="8"/>
      <c r="G62" s="8"/>
      <c r="H62" s="8"/>
      <c r="I62" s="8"/>
      <c r="J62" s="8"/>
      <c r="K62" s="17">
        <f t="shared" si="1"/>
        <v>1</v>
      </c>
      <c r="M62" s="24">
        <f t="shared" si="2"/>
        <v>233.64724974684938</v>
      </c>
    </row>
    <row r="63" spans="1:13">
      <c r="A63" s="4">
        <v>39753</v>
      </c>
      <c r="B63" s="8">
        <v>1</v>
      </c>
      <c r="C63" s="8"/>
      <c r="D63" s="8"/>
      <c r="E63" s="8"/>
      <c r="F63" s="8"/>
      <c r="G63" s="8"/>
      <c r="H63" s="8"/>
      <c r="I63" s="8"/>
      <c r="J63" s="8"/>
      <c r="K63" s="17">
        <f t="shared" si="1"/>
        <v>1</v>
      </c>
      <c r="M63" s="24">
        <f t="shared" si="2"/>
        <v>233.64724974684938</v>
      </c>
    </row>
    <row r="64" spans="1:13">
      <c r="A64" s="4">
        <v>39783</v>
      </c>
      <c r="B64" s="8">
        <v>1</v>
      </c>
      <c r="C64" s="8"/>
      <c r="D64" s="8"/>
      <c r="E64" s="8"/>
      <c r="F64" s="8"/>
      <c r="G64" s="8"/>
      <c r="H64" s="8"/>
      <c r="I64" s="8"/>
      <c r="J64" s="8"/>
      <c r="K64" s="17">
        <f t="shared" si="1"/>
        <v>1</v>
      </c>
      <c r="M64" s="24">
        <f t="shared" si="2"/>
        <v>233.64724974684938</v>
      </c>
    </row>
    <row r="65" spans="1:13">
      <c r="A65" s="4">
        <v>39814</v>
      </c>
      <c r="B65" s="8">
        <v>1</v>
      </c>
      <c r="C65" s="8"/>
      <c r="D65" s="8"/>
      <c r="E65" s="8"/>
      <c r="F65" s="8"/>
      <c r="G65" s="8"/>
      <c r="H65" s="8"/>
      <c r="I65" s="8"/>
      <c r="J65" s="8"/>
      <c r="K65" s="17">
        <f t="shared" si="1"/>
        <v>1</v>
      </c>
      <c r="M65" s="24">
        <f t="shared" si="2"/>
        <v>233.64724974684938</v>
      </c>
    </row>
    <row r="66" spans="1:13">
      <c r="A66" s="4">
        <v>39845</v>
      </c>
      <c r="B66" s="8">
        <v>1</v>
      </c>
      <c r="C66" s="8"/>
      <c r="D66" s="8"/>
      <c r="E66" s="8"/>
      <c r="F66" s="8"/>
      <c r="G66" s="8"/>
      <c r="H66" s="8"/>
      <c r="I66" s="8"/>
      <c r="J66" s="8"/>
      <c r="K66" s="17">
        <f t="shared" si="1"/>
        <v>1</v>
      </c>
      <c r="M66" s="24">
        <f t="shared" si="2"/>
        <v>233.64724974684938</v>
      </c>
    </row>
    <row r="67" spans="1:13">
      <c r="A67" s="4">
        <v>39873</v>
      </c>
      <c r="B67" s="8">
        <v>1</v>
      </c>
      <c r="C67" s="8"/>
      <c r="D67" s="8"/>
      <c r="E67" s="8"/>
      <c r="F67" s="8"/>
      <c r="G67" s="8"/>
      <c r="H67" s="8"/>
      <c r="I67" s="8"/>
      <c r="J67" s="8"/>
      <c r="K67" s="17">
        <f t="shared" si="1"/>
        <v>1</v>
      </c>
      <c r="M67" s="24">
        <f t="shared" si="2"/>
        <v>233.64724974684938</v>
      </c>
    </row>
    <row r="68" spans="1:13">
      <c r="A68" s="4">
        <v>39904</v>
      </c>
      <c r="B68" s="8">
        <v>1</v>
      </c>
      <c r="C68" s="8"/>
      <c r="D68" s="8"/>
      <c r="E68" s="8"/>
      <c r="F68" s="8"/>
      <c r="G68" s="8"/>
      <c r="H68" s="8"/>
      <c r="I68" s="8"/>
      <c r="J68" s="8"/>
      <c r="K68" s="17">
        <f t="shared" si="1"/>
        <v>1</v>
      </c>
      <c r="M68" s="24">
        <f t="shared" si="2"/>
        <v>233.64724974684938</v>
      </c>
    </row>
    <row r="69" spans="1:13">
      <c r="A69" s="4">
        <v>39934</v>
      </c>
      <c r="B69" s="8">
        <v>1</v>
      </c>
      <c r="C69" s="8"/>
      <c r="D69" s="8"/>
      <c r="E69" s="8"/>
      <c r="F69" s="8"/>
      <c r="G69" s="8"/>
      <c r="H69" s="8"/>
      <c r="I69" s="8"/>
      <c r="J69" s="8"/>
      <c r="K69" s="17">
        <f t="shared" si="1"/>
        <v>1</v>
      </c>
      <c r="M69" s="24">
        <f t="shared" si="2"/>
        <v>233.64724974684938</v>
      </c>
    </row>
    <row r="70" spans="1:13">
      <c r="A70" s="4">
        <v>39965</v>
      </c>
      <c r="B70" s="8">
        <v>1</v>
      </c>
      <c r="C70" s="8"/>
      <c r="D70" s="8"/>
      <c r="E70" s="8"/>
      <c r="F70" s="8"/>
      <c r="G70" s="8"/>
      <c r="H70" s="8"/>
      <c r="I70" s="8"/>
      <c r="J70" s="8"/>
      <c r="K70" s="17">
        <f t="shared" si="1"/>
        <v>1</v>
      </c>
      <c r="M70" s="24">
        <f t="shared" si="2"/>
        <v>233.64724974684938</v>
      </c>
    </row>
    <row r="71" spans="1:13">
      <c r="A71" s="4">
        <v>39995</v>
      </c>
      <c r="B71" s="8">
        <v>1</v>
      </c>
      <c r="C71" s="8"/>
      <c r="D71" s="8"/>
      <c r="E71" s="8"/>
      <c r="F71" s="8"/>
      <c r="G71" s="8"/>
      <c r="H71" s="8"/>
      <c r="I71" s="8"/>
      <c r="J71" s="8"/>
      <c r="K71" s="17">
        <f t="shared" si="1"/>
        <v>1</v>
      </c>
      <c r="M71" s="24">
        <f t="shared" si="2"/>
        <v>233.64724974684938</v>
      </c>
    </row>
    <row r="72" spans="1:13">
      <c r="A72" s="4">
        <v>40026</v>
      </c>
      <c r="B72" s="8">
        <v>1</v>
      </c>
      <c r="C72" s="8"/>
      <c r="D72" s="8"/>
      <c r="E72" s="8"/>
      <c r="F72" s="8"/>
      <c r="G72" s="8"/>
      <c r="H72" s="8"/>
      <c r="I72" s="8"/>
      <c r="J72" s="8"/>
      <c r="K72" s="17">
        <f t="shared" si="1"/>
        <v>1</v>
      </c>
      <c r="M72" s="24">
        <f t="shared" si="2"/>
        <v>233.64724974684938</v>
      </c>
    </row>
    <row r="73" spans="1:13">
      <c r="A73" s="4">
        <v>40057</v>
      </c>
      <c r="B73" s="8">
        <v>1</v>
      </c>
      <c r="C73" s="8"/>
      <c r="D73" s="8"/>
      <c r="E73" s="8"/>
      <c r="F73" s="8"/>
      <c r="G73" s="8"/>
      <c r="H73" s="8"/>
      <c r="I73" s="8"/>
      <c r="J73" s="8"/>
      <c r="K73" s="17">
        <f t="shared" si="1"/>
        <v>1</v>
      </c>
      <c r="M73" s="24">
        <f t="shared" si="2"/>
        <v>233.64724974684938</v>
      </c>
    </row>
    <row r="74" spans="1:13">
      <c r="A74" s="4">
        <v>40087</v>
      </c>
      <c r="B74" s="8">
        <v>1</v>
      </c>
      <c r="C74" s="8"/>
      <c r="D74" s="8"/>
      <c r="E74" s="8"/>
      <c r="F74" s="8"/>
      <c r="G74" s="8"/>
      <c r="H74" s="8"/>
      <c r="I74" s="8"/>
      <c r="J74" s="8"/>
      <c r="K74" s="17">
        <f t="shared" si="1"/>
        <v>1</v>
      </c>
      <c r="M74" s="24">
        <f t="shared" si="2"/>
        <v>233.64724974684938</v>
      </c>
    </row>
    <row r="75" spans="1:13">
      <c r="A75" s="4">
        <v>40118</v>
      </c>
      <c r="B75" s="8">
        <v>1</v>
      </c>
      <c r="C75" s="8"/>
      <c r="D75" s="8"/>
      <c r="E75" s="8"/>
      <c r="F75" s="8"/>
      <c r="G75" s="8"/>
      <c r="H75" s="8"/>
      <c r="I75" s="8"/>
      <c r="J75" s="8"/>
      <c r="K75" s="17">
        <f t="shared" si="1"/>
        <v>1</v>
      </c>
      <c r="M75" s="24">
        <f t="shared" si="2"/>
        <v>233.64724974684938</v>
      </c>
    </row>
    <row r="76" spans="1:13">
      <c r="A76" s="4">
        <v>40148</v>
      </c>
      <c r="B76" s="8">
        <v>1</v>
      </c>
      <c r="C76" s="8"/>
      <c r="D76" s="8"/>
      <c r="E76" s="8"/>
      <c r="F76" s="8"/>
      <c r="G76" s="8"/>
      <c r="H76" s="8"/>
      <c r="I76" s="8"/>
      <c r="J76" s="8"/>
      <c r="K76" s="17">
        <f t="shared" si="1"/>
        <v>1</v>
      </c>
      <c r="M76" s="24">
        <f t="shared" si="2"/>
        <v>233.64724974684938</v>
      </c>
    </row>
    <row r="77" spans="1:13">
      <c r="A77" s="4">
        <v>40179</v>
      </c>
      <c r="B77" s="8">
        <v>1</v>
      </c>
      <c r="C77" s="8"/>
      <c r="D77" s="8"/>
      <c r="E77" s="8"/>
      <c r="F77" s="8"/>
      <c r="G77" s="8"/>
      <c r="H77" s="8"/>
      <c r="I77" s="8"/>
      <c r="J77" s="8"/>
      <c r="K77" s="17">
        <f t="shared" si="1"/>
        <v>1</v>
      </c>
      <c r="M77" s="24">
        <f t="shared" si="2"/>
        <v>233.64724974684938</v>
      </c>
    </row>
    <row r="78" spans="1:13">
      <c r="A78" s="4">
        <v>40210</v>
      </c>
      <c r="B78" s="8">
        <v>1</v>
      </c>
      <c r="C78" s="8"/>
      <c r="D78" s="8"/>
      <c r="E78" s="8"/>
      <c r="F78" s="8"/>
      <c r="G78" s="8"/>
      <c r="H78" s="8"/>
      <c r="I78" s="8"/>
      <c r="J78" s="8"/>
      <c r="K78" s="17">
        <f t="shared" si="1"/>
        <v>1</v>
      </c>
      <c r="M78" s="24">
        <f t="shared" si="2"/>
        <v>233.64724974684938</v>
      </c>
    </row>
    <row r="79" spans="1:13">
      <c r="A79" s="4">
        <v>40238</v>
      </c>
      <c r="B79" s="8">
        <v>1</v>
      </c>
      <c r="C79" s="8"/>
      <c r="D79" s="8"/>
      <c r="E79" s="8"/>
      <c r="F79" s="8"/>
      <c r="G79" s="8"/>
      <c r="H79" s="8"/>
      <c r="I79" s="8"/>
      <c r="J79" s="8"/>
      <c r="K79" s="17">
        <f t="shared" si="1"/>
        <v>1</v>
      </c>
      <c r="M79" s="24">
        <f t="shared" si="2"/>
        <v>233.64724974684938</v>
      </c>
    </row>
    <row r="80" spans="1:13">
      <c r="A80" s="4">
        <v>40269</v>
      </c>
      <c r="B80" s="8">
        <v>1</v>
      </c>
      <c r="C80" s="8"/>
      <c r="D80" s="8"/>
      <c r="E80" s="8"/>
      <c r="F80" s="8"/>
      <c r="G80" s="8"/>
      <c r="H80" s="8"/>
      <c r="I80" s="8"/>
      <c r="J80" s="8"/>
      <c r="K80" s="17">
        <f t="shared" si="1"/>
        <v>1</v>
      </c>
      <c r="M80" s="24">
        <f t="shared" si="2"/>
        <v>233.64724974684938</v>
      </c>
    </row>
    <row r="81" spans="1:13">
      <c r="A81" s="4">
        <v>40299</v>
      </c>
      <c r="B81" s="8">
        <v>1</v>
      </c>
      <c r="C81" s="8"/>
      <c r="D81" s="8"/>
      <c r="E81" s="8"/>
      <c r="F81" s="8"/>
      <c r="G81" s="8"/>
      <c r="H81" s="8"/>
      <c r="I81" s="8"/>
      <c r="J81" s="8"/>
      <c r="K81" s="17">
        <f t="shared" si="1"/>
        <v>1</v>
      </c>
      <c r="M81" s="24">
        <f t="shared" si="2"/>
        <v>233.64724974684938</v>
      </c>
    </row>
    <row r="82" spans="1:13">
      <c r="A82" s="4">
        <v>40330</v>
      </c>
      <c r="B82" s="8">
        <v>1</v>
      </c>
      <c r="C82" s="8"/>
      <c r="D82" s="8"/>
      <c r="E82" s="8"/>
      <c r="F82" s="8"/>
      <c r="G82" s="8"/>
      <c r="H82" s="8"/>
      <c r="I82" s="8"/>
      <c r="J82" s="8"/>
      <c r="K82" s="17">
        <f t="shared" si="1"/>
        <v>1</v>
      </c>
      <c r="M82" s="24">
        <f t="shared" si="2"/>
        <v>233.64724974684938</v>
      </c>
    </row>
    <row r="83" spans="1:13">
      <c r="A83" s="4">
        <v>40360</v>
      </c>
      <c r="B83" s="8">
        <v>1</v>
      </c>
      <c r="C83" s="8"/>
      <c r="D83" s="8"/>
      <c r="E83" s="8"/>
      <c r="F83" s="8"/>
      <c r="G83" s="8"/>
      <c r="H83" s="8"/>
      <c r="I83" s="8"/>
      <c r="J83" s="8"/>
      <c r="K83" s="17">
        <f t="shared" si="1"/>
        <v>1</v>
      </c>
      <c r="M83" s="24">
        <f t="shared" si="2"/>
        <v>233.64724974684938</v>
      </c>
    </row>
    <row r="84" spans="1:13">
      <c r="A84" s="4">
        <v>40391</v>
      </c>
      <c r="B84" s="8">
        <v>1</v>
      </c>
      <c r="C84" s="8"/>
      <c r="D84" s="8"/>
      <c r="E84" s="8"/>
      <c r="F84" s="8"/>
      <c r="G84" s="8"/>
      <c r="H84" s="8"/>
      <c r="I84" s="8"/>
      <c r="J84" s="8"/>
      <c r="K84" s="17">
        <f t="shared" si="1"/>
        <v>1</v>
      </c>
      <c r="M84" s="24">
        <f t="shared" si="2"/>
        <v>233.64724974684938</v>
      </c>
    </row>
    <row r="85" spans="1:13">
      <c r="A85" s="4">
        <v>40422</v>
      </c>
      <c r="B85" s="8">
        <v>1</v>
      </c>
      <c r="C85" s="8"/>
      <c r="D85" s="8"/>
      <c r="E85" s="8"/>
      <c r="F85" s="8"/>
      <c r="G85" s="8"/>
      <c r="H85" s="8"/>
      <c r="I85" s="8"/>
      <c r="J85" s="8"/>
      <c r="K85" s="17">
        <f t="shared" si="1"/>
        <v>1</v>
      </c>
      <c r="M85" s="24">
        <f t="shared" si="2"/>
        <v>233.64724974684938</v>
      </c>
    </row>
    <row r="86" spans="1:13">
      <c r="A86" s="4">
        <v>40452</v>
      </c>
      <c r="B86" s="8">
        <v>1</v>
      </c>
      <c r="C86" s="8"/>
      <c r="D86" s="8"/>
      <c r="E86" s="8"/>
      <c r="F86" s="8"/>
      <c r="G86" s="8"/>
      <c r="H86" s="8"/>
      <c r="I86" s="8"/>
      <c r="J86" s="8"/>
      <c r="K86" s="17">
        <f t="shared" si="1"/>
        <v>1</v>
      </c>
      <c r="M86" s="24">
        <f t="shared" si="2"/>
        <v>233.64724974684938</v>
      </c>
    </row>
    <row r="87" spans="1:13">
      <c r="A87" s="4">
        <v>40483</v>
      </c>
      <c r="B87" s="8">
        <v>1</v>
      </c>
      <c r="C87" s="8"/>
      <c r="D87" s="8"/>
      <c r="E87" s="8"/>
      <c r="F87" s="8"/>
      <c r="G87" s="8"/>
      <c r="H87" s="8"/>
      <c r="I87" s="8"/>
      <c r="J87" s="8"/>
      <c r="K87" s="17">
        <f t="shared" si="1"/>
        <v>1</v>
      </c>
      <c r="M87" s="24">
        <f t="shared" si="2"/>
        <v>233.64724974684938</v>
      </c>
    </row>
    <row r="88" spans="1:13">
      <c r="A88" s="4">
        <v>40513</v>
      </c>
      <c r="B88" s="8">
        <v>1</v>
      </c>
      <c r="C88" s="8"/>
      <c r="D88" s="8"/>
      <c r="E88" s="8"/>
      <c r="F88" s="8"/>
      <c r="G88" s="8"/>
      <c r="H88" s="8"/>
      <c r="I88" s="8"/>
      <c r="J88" s="8"/>
      <c r="K88" s="17">
        <f t="shared" si="1"/>
        <v>1</v>
      </c>
      <c r="M88" s="24">
        <f t="shared" si="2"/>
        <v>233.64724974684938</v>
      </c>
    </row>
    <row r="89" spans="1:13">
      <c r="A89" s="4">
        <v>40544</v>
      </c>
      <c r="B89" s="8">
        <v>1</v>
      </c>
      <c r="C89" s="8"/>
      <c r="D89" s="8"/>
      <c r="E89" s="8"/>
      <c r="F89" s="8"/>
      <c r="G89" s="8"/>
      <c r="H89" s="8"/>
      <c r="I89" s="8"/>
      <c r="J89" s="8"/>
      <c r="K89" s="17">
        <f t="shared" si="1"/>
        <v>1</v>
      </c>
      <c r="M89" s="24">
        <f t="shared" si="2"/>
        <v>233.64724974684938</v>
      </c>
    </row>
    <row r="90" spans="1:13">
      <c r="A90" s="4">
        <v>40575</v>
      </c>
      <c r="B90" s="8">
        <v>1</v>
      </c>
      <c r="C90" s="8"/>
      <c r="D90" s="8"/>
      <c r="E90" s="8"/>
      <c r="F90" s="8"/>
      <c r="G90" s="8"/>
      <c r="H90" s="8"/>
      <c r="I90" s="8"/>
      <c r="J90" s="8"/>
      <c r="K90" s="17">
        <f t="shared" si="1"/>
        <v>1</v>
      </c>
      <c r="M90" s="24">
        <f t="shared" si="2"/>
        <v>233.64724974684938</v>
      </c>
    </row>
    <row r="91" spans="1:13">
      <c r="A91" s="4">
        <v>40603</v>
      </c>
      <c r="B91" s="8">
        <v>1</v>
      </c>
      <c r="C91" s="8"/>
      <c r="D91" s="8"/>
      <c r="E91" s="8"/>
      <c r="F91" s="8"/>
      <c r="G91" s="8"/>
      <c r="H91" s="8"/>
      <c r="I91" s="8"/>
      <c r="J91" s="8"/>
      <c r="K91" s="17">
        <f t="shared" si="1"/>
        <v>1</v>
      </c>
      <c r="M91" s="24">
        <f t="shared" si="2"/>
        <v>233.64724974684938</v>
      </c>
    </row>
    <row r="92" spans="1:13">
      <c r="A92" s="4">
        <v>40634</v>
      </c>
      <c r="B92" s="8">
        <v>1</v>
      </c>
      <c r="C92" s="8"/>
      <c r="D92" s="8"/>
      <c r="E92" s="8"/>
      <c r="F92" s="8"/>
      <c r="G92" s="8"/>
      <c r="H92" s="8"/>
      <c r="I92" s="8"/>
      <c r="J92" s="8"/>
      <c r="K92" s="17">
        <f t="shared" si="1"/>
        <v>1</v>
      </c>
      <c r="M92" s="24">
        <f t="shared" si="2"/>
        <v>233.64724974684938</v>
      </c>
    </row>
    <row r="93" spans="1:13">
      <c r="A93" s="4">
        <v>40664</v>
      </c>
      <c r="B93" s="8">
        <v>1</v>
      </c>
      <c r="C93" s="8"/>
      <c r="D93" s="8"/>
      <c r="E93" s="8"/>
      <c r="F93" s="8"/>
      <c r="G93" s="8"/>
      <c r="H93" s="8"/>
      <c r="I93" s="8"/>
      <c r="J93" s="8"/>
      <c r="K93" s="17">
        <f t="shared" si="1"/>
        <v>1</v>
      </c>
      <c r="M93" s="24">
        <f t="shared" si="2"/>
        <v>233.64724974684938</v>
      </c>
    </row>
    <row r="94" spans="1:13">
      <c r="A94" s="4">
        <v>40695</v>
      </c>
      <c r="B94" s="8">
        <v>1</v>
      </c>
      <c r="C94" s="8"/>
      <c r="D94" s="8"/>
      <c r="E94" s="8"/>
      <c r="F94" s="8"/>
      <c r="G94" s="8"/>
      <c r="H94" s="8"/>
      <c r="I94" s="8"/>
      <c r="J94" s="8"/>
      <c r="K94" s="17">
        <f t="shared" ref="K94:K136" si="3">B94/B$27</f>
        <v>1</v>
      </c>
      <c r="M94" s="24">
        <f t="shared" ref="M94:M136" si="4">$B$8/12</f>
        <v>233.64724974684938</v>
      </c>
    </row>
    <row r="95" spans="1:13">
      <c r="A95" s="4">
        <v>40725</v>
      </c>
      <c r="B95" s="8">
        <v>1</v>
      </c>
      <c r="C95" s="8"/>
      <c r="D95" s="8"/>
      <c r="E95" s="8"/>
      <c r="F95" s="8"/>
      <c r="G95" s="8"/>
      <c r="H95" s="8"/>
      <c r="I95" s="8"/>
      <c r="J95" s="8"/>
      <c r="K95" s="17">
        <f t="shared" si="3"/>
        <v>1</v>
      </c>
      <c r="M95" s="24">
        <f t="shared" si="4"/>
        <v>233.64724974684938</v>
      </c>
    </row>
    <row r="96" spans="1:13">
      <c r="A96" s="4">
        <v>40756</v>
      </c>
      <c r="B96" s="8">
        <v>1</v>
      </c>
      <c r="C96" s="8"/>
      <c r="D96" s="8"/>
      <c r="E96" s="8"/>
      <c r="F96" s="8"/>
      <c r="G96" s="8"/>
      <c r="H96" s="8"/>
      <c r="I96" s="8"/>
      <c r="J96" s="8"/>
      <c r="K96" s="17">
        <f t="shared" si="3"/>
        <v>1</v>
      </c>
      <c r="M96" s="24">
        <f t="shared" si="4"/>
        <v>233.64724974684938</v>
      </c>
    </row>
    <row r="97" spans="1:13">
      <c r="A97" s="4">
        <v>40787</v>
      </c>
      <c r="B97" s="8">
        <v>1</v>
      </c>
      <c r="C97" s="8"/>
      <c r="D97" s="8"/>
      <c r="E97" s="8"/>
      <c r="F97" s="8"/>
      <c r="G97" s="8"/>
      <c r="H97" s="8"/>
      <c r="I97" s="8"/>
      <c r="J97" s="8"/>
      <c r="K97" s="17">
        <f t="shared" si="3"/>
        <v>1</v>
      </c>
      <c r="M97" s="24">
        <f t="shared" si="4"/>
        <v>233.64724974684938</v>
      </c>
    </row>
    <row r="98" spans="1:13">
      <c r="A98" s="4">
        <v>40817</v>
      </c>
      <c r="B98" s="8">
        <v>1</v>
      </c>
      <c r="C98" s="8"/>
      <c r="D98" s="8"/>
      <c r="E98" s="8"/>
      <c r="F98" s="8"/>
      <c r="G98" s="8"/>
      <c r="H98" s="8"/>
      <c r="I98" s="8"/>
      <c r="J98" s="8"/>
      <c r="K98" s="17">
        <f t="shared" si="3"/>
        <v>1</v>
      </c>
      <c r="M98" s="24">
        <f t="shared" si="4"/>
        <v>233.64724974684938</v>
      </c>
    </row>
    <row r="99" spans="1:13">
      <c r="A99" s="4">
        <v>40848</v>
      </c>
      <c r="B99" s="8">
        <v>1</v>
      </c>
      <c r="C99" s="8"/>
      <c r="D99" s="8"/>
      <c r="E99" s="8"/>
      <c r="F99" s="8"/>
      <c r="G99" s="8"/>
      <c r="H99" s="8"/>
      <c r="I99" s="8"/>
      <c r="J99" s="8"/>
      <c r="K99" s="17">
        <f t="shared" si="3"/>
        <v>1</v>
      </c>
      <c r="M99" s="24">
        <f t="shared" si="4"/>
        <v>233.64724974684938</v>
      </c>
    </row>
    <row r="100" spans="1:13">
      <c r="A100" s="4">
        <v>40878</v>
      </c>
      <c r="B100" s="8">
        <v>1</v>
      </c>
      <c r="C100" s="8"/>
      <c r="D100" s="8"/>
      <c r="E100" s="8"/>
      <c r="F100" s="8"/>
      <c r="G100" s="8"/>
      <c r="H100" s="8"/>
      <c r="I100" s="8"/>
      <c r="J100" s="8"/>
      <c r="K100" s="17">
        <f t="shared" si="3"/>
        <v>1</v>
      </c>
      <c r="M100" s="24">
        <f t="shared" si="4"/>
        <v>233.64724974684938</v>
      </c>
    </row>
    <row r="101" spans="1:13">
      <c r="A101" s="4">
        <v>40909</v>
      </c>
      <c r="B101" s="8">
        <v>1</v>
      </c>
      <c r="C101" s="8"/>
      <c r="D101" s="8"/>
      <c r="E101" s="8"/>
      <c r="F101" s="8"/>
      <c r="G101" s="8"/>
      <c r="H101" s="8"/>
      <c r="I101" s="8"/>
      <c r="J101" s="8"/>
      <c r="K101" s="17">
        <f t="shared" si="3"/>
        <v>1</v>
      </c>
      <c r="M101" s="24">
        <f t="shared" si="4"/>
        <v>233.64724974684938</v>
      </c>
    </row>
    <row r="102" spans="1:13">
      <c r="A102" s="4">
        <v>40940</v>
      </c>
      <c r="B102" s="8">
        <v>1</v>
      </c>
      <c r="C102" s="8"/>
      <c r="D102" s="8"/>
      <c r="E102" s="8"/>
      <c r="F102" s="8"/>
      <c r="G102" s="8"/>
      <c r="H102" s="8"/>
      <c r="I102" s="8"/>
      <c r="J102" s="8"/>
      <c r="K102" s="17">
        <f t="shared" si="3"/>
        <v>1</v>
      </c>
      <c r="M102" s="24">
        <f t="shared" si="4"/>
        <v>233.64724974684938</v>
      </c>
    </row>
    <row r="103" spans="1:13">
      <c r="A103" s="4">
        <v>40969</v>
      </c>
      <c r="B103" s="8">
        <v>1</v>
      </c>
      <c r="C103" s="8"/>
      <c r="D103" s="8"/>
      <c r="E103" s="8"/>
      <c r="F103" s="8"/>
      <c r="G103" s="8"/>
      <c r="H103" s="8"/>
      <c r="I103" s="8"/>
      <c r="J103" s="8"/>
      <c r="K103" s="17">
        <f t="shared" si="3"/>
        <v>1</v>
      </c>
      <c r="M103" s="24">
        <f t="shared" si="4"/>
        <v>233.64724974684938</v>
      </c>
    </row>
    <row r="104" spans="1:13">
      <c r="A104" s="4">
        <v>41000</v>
      </c>
      <c r="B104" s="8">
        <v>1</v>
      </c>
      <c r="C104" s="8"/>
      <c r="D104" s="8"/>
      <c r="E104" s="8"/>
      <c r="F104" s="8"/>
      <c r="G104" s="8"/>
      <c r="H104" s="8"/>
      <c r="I104" s="8"/>
      <c r="J104" s="8"/>
      <c r="K104" s="17">
        <f t="shared" si="3"/>
        <v>1</v>
      </c>
      <c r="M104" s="24">
        <f t="shared" si="4"/>
        <v>233.64724974684938</v>
      </c>
    </row>
    <row r="105" spans="1:13">
      <c r="A105" s="4">
        <v>41030</v>
      </c>
      <c r="B105" s="8">
        <v>1</v>
      </c>
      <c r="C105" s="8"/>
      <c r="D105" s="8"/>
      <c r="E105" s="8"/>
      <c r="F105" s="8"/>
      <c r="G105" s="8"/>
      <c r="H105" s="8"/>
      <c r="I105" s="8"/>
      <c r="J105" s="8"/>
      <c r="K105" s="17">
        <f t="shared" si="3"/>
        <v>1</v>
      </c>
      <c r="M105" s="24">
        <f t="shared" si="4"/>
        <v>233.64724974684938</v>
      </c>
    </row>
    <row r="106" spans="1:13">
      <c r="A106" s="4">
        <v>41061</v>
      </c>
      <c r="B106" s="8">
        <v>1</v>
      </c>
      <c r="C106" s="8"/>
      <c r="D106" s="8"/>
      <c r="E106" s="8"/>
      <c r="F106" s="8"/>
      <c r="G106" s="8"/>
      <c r="H106" s="8"/>
      <c r="I106" s="8"/>
      <c r="J106" s="8"/>
      <c r="K106" s="17">
        <f t="shared" si="3"/>
        <v>1</v>
      </c>
      <c r="M106" s="24">
        <f t="shared" si="4"/>
        <v>233.64724974684938</v>
      </c>
    </row>
    <row r="107" spans="1:13">
      <c r="A107" s="4">
        <v>41091</v>
      </c>
      <c r="B107" s="8">
        <v>1</v>
      </c>
      <c r="C107" s="8"/>
      <c r="D107" s="8"/>
      <c r="E107" s="8"/>
      <c r="F107" s="8"/>
      <c r="G107" s="8"/>
      <c r="H107" s="8"/>
      <c r="I107" s="8"/>
      <c r="J107" s="8"/>
      <c r="K107" s="17">
        <f t="shared" si="3"/>
        <v>1</v>
      </c>
      <c r="M107" s="24">
        <f t="shared" si="4"/>
        <v>233.64724974684938</v>
      </c>
    </row>
    <row r="108" spans="1:13">
      <c r="A108" s="4">
        <v>41122</v>
      </c>
      <c r="B108" s="8">
        <v>1</v>
      </c>
      <c r="C108" s="8"/>
      <c r="D108" s="8"/>
      <c r="E108" s="8"/>
      <c r="F108" s="8"/>
      <c r="G108" s="8"/>
      <c r="H108" s="8"/>
      <c r="I108" s="8"/>
      <c r="J108" s="8"/>
      <c r="K108" s="17">
        <f t="shared" si="3"/>
        <v>1</v>
      </c>
      <c r="M108" s="24">
        <f t="shared" si="4"/>
        <v>233.64724974684938</v>
      </c>
    </row>
    <row r="109" spans="1:13">
      <c r="A109" s="4">
        <v>41153</v>
      </c>
      <c r="B109" s="8">
        <v>1</v>
      </c>
      <c r="C109" s="8"/>
      <c r="D109" s="8"/>
      <c r="E109" s="8"/>
      <c r="F109" s="8"/>
      <c r="G109" s="8"/>
      <c r="H109" s="8"/>
      <c r="I109" s="8"/>
      <c r="J109" s="8"/>
      <c r="K109" s="17">
        <f t="shared" si="3"/>
        <v>1</v>
      </c>
      <c r="M109" s="24">
        <f t="shared" si="4"/>
        <v>233.64724974684938</v>
      </c>
    </row>
    <row r="110" spans="1:13">
      <c r="A110" s="4">
        <v>41183</v>
      </c>
      <c r="B110" s="8">
        <v>1</v>
      </c>
      <c r="C110" s="8"/>
      <c r="D110" s="8"/>
      <c r="E110" s="8"/>
      <c r="F110" s="8"/>
      <c r="G110" s="8"/>
      <c r="H110" s="8"/>
      <c r="I110" s="8"/>
      <c r="J110" s="8"/>
      <c r="K110" s="17">
        <f t="shared" si="3"/>
        <v>1</v>
      </c>
      <c r="M110" s="24">
        <f t="shared" si="4"/>
        <v>233.64724974684938</v>
      </c>
    </row>
    <row r="111" spans="1:13">
      <c r="A111" s="4">
        <v>41214</v>
      </c>
      <c r="B111" s="8">
        <v>1</v>
      </c>
      <c r="C111" s="8"/>
      <c r="D111" s="8"/>
      <c r="E111" s="8"/>
      <c r="F111" s="8"/>
      <c r="G111" s="8"/>
      <c r="H111" s="8"/>
      <c r="I111" s="8"/>
      <c r="J111" s="8"/>
      <c r="K111" s="17">
        <f t="shared" si="3"/>
        <v>1</v>
      </c>
      <c r="M111" s="24">
        <f t="shared" si="4"/>
        <v>233.64724974684938</v>
      </c>
    </row>
    <row r="112" spans="1:13">
      <c r="A112" s="4">
        <v>41244</v>
      </c>
      <c r="B112" s="8">
        <v>1</v>
      </c>
      <c r="C112" s="8"/>
      <c r="D112" s="8"/>
      <c r="E112" s="8"/>
      <c r="F112" s="8"/>
      <c r="G112" s="8"/>
      <c r="H112" s="8"/>
      <c r="I112" s="8"/>
      <c r="J112" s="8"/>
      <c r="K112" s="17">
        <f t="shared" si="3"/>
        <v>1</v>
      </c>
      <c r="M112" s="24">
        <f t="shared" si="4"/>
        <v>233.64724974684938</v>
      </c>
    </row>
    <row r="113" spans="1:13">
      <c r="A113" s="4">
        <v>41275</v>
      </c>
      <c r="B113" s="8">
        <v>1</v>
      </c>
      <c r="C113" s="8"/>
      <c r="D113" s="8"/>
      <c r="E113" s="8"/>
      <c r="F113" s="8"/>
      <c r="G113" s="8"/>
      <c r="H113" s="8"/>
      <c r="I113" s="8"/>
      <c r="J113" s="8"/>
      <c r="K113" s="17">
        <f t="shared" si="3"/>
        <v>1</v>
      </c>
      <c r="M113" s="24">
        <f t="shared" si="4"/>
        <v>233.64724974684938</v>
      </c>
    </row>
    <row r="114" spans="1:13">
      <c r="A114" s="4">
        <v>41306</v>
      </c>
      <c r="B114" s="8">
        <v>1</v>
      </c>
      <c r="C114" s="8"/>
      <c r="D114" s="8"/>
      <c r="E114" s="8"/>
      <c r="F114" s="8"/>
      <c r="G114" s="8"/>
      <c r="H114" s="8"/>
      <c r="I114" s="8"/>
      <c r="J114" s="8"/>
      <c r="K114" s="17">
        <f t="shared" si="3"/>
        <v>1</v>
      </c>
      <c r="M114" s="24">
        <f t="shared" si="4"/>
        <v>233.64724974684938</v>
      </c>
    </row>
    <row r="115" spans="1:13">
      <c r="A115" s="4">
        <v>41334</v>
      </c>
      <c r="B115" s="8">
        <v>1</v>
      </c>
      <c r="C115" s="8"/>
      <c r="D115" s="8"/>
      <c r="E115" s="8"/>
      <c r="F115" s="8"/>
      <c r="G115" s="8"/>
      <c r="H115" s="8"/>
      <c r="I115" s="8"/>
      <c r="J115" s="8"/>
      <c r="K115" s="17">
        <f t="shared" si="3"/>
        <v>1</v>
      </c>
      <c r="M115" s="24">
        <f t="shared" si="4"/>
        <v>233.64724974684938</v>
      </c>
    </row>
    <row r="116" spans="1:13">
      <c r="A116" s="4">
        <v>41365</v>
      </c>
      <c r="B116" s="8">
        <v>1</v>
      </c>
      <c r="C116" s="8"/>
      <c r="D116" s="8"/>
      <c r="E116" s="8"/>
      <c r="F116" s="8"/>
      <c r="G116" s="8"/>
      <c r="H116" s="8"/>
      <c r="I116" s="8"/>
      <c r="J116" s="8"/>
      <c r="K116" s="17">
        <f t="shared" si="3"/>
        <v>1</v>
      </c>
      <c r="M116" s="24">
        <f t="shared" si="4"/>
        <v>233.64724974684938</v>
      </c>
    </row>
    <row r="117" spans="1:13">
      <c r="A117" s="4">
        <v>41395</v>
      </c>
      <c r="B117" s="8">
        <v>1</v>
      </c>
      <c r="C117" s="8"/>
      <c r="D117" s="8"/>
      <c r="E117" s="8"/>
      <c r="F117" s="8"/>
      <c r="G117" s="8"/>
      <c r="H117" s="8"/>
      <c r="I117" s="8"/>
      <c r="J117" s="8"/>
      <c r="K117" s="17">
        <f t="shared" si="3"/>
        <v>1</v>
      </c>
      <c r="M117" s="24">
        <f t="shared" si="4"/>
        <v>233.64724974684938</v>
      </c>
    </row>
    <row r="118" spans="1:13">
      <c r="A118" s="4">
        <v>41426</v>
      </c>
      <c r="B118" s="8">
        <v>1</v>
      </c>
      <c r="C118" s="8"/>
      <c r="D118" s="8"/>
      <c r="E118" s="8"/>
      <c r="F118" s="8"/>
      <c r="G118" s="8"/>
      <c r="H118" s="8"/>
      <c r="I118" s="8"/>
      <c r="J118" s="8"/>
      <c r="K118" s="17">
        <f t="shared" si="3"/>
        <v>1</v>
      </c>
      <c r="M118" s="24">
        <f t="shared" si="4"/>
        <v>233.64724974684938</v>
      </c>
    </row>
    <row r="119" spans="1:13">
      <c r="A119" s="4">
        <v>41456</v>
      </c>
      <c r="B119" s="8">
        <v>1</v>
      </c>
      <c r="C119" s="8"/>
      <c r="D119" s="8"/>
      <c r="E119" s="8"/>
      <c r="F119" s="8"/>
      <c r="G119" s="8"/>
      <c r="H119" s="8"/>
      <c r="I119" s="8"/>
      <c r="J119" s="8"/>
      <c r="K119" s="17">
        <f t="shared" si="3"/>
        <v>1</v>
      </c>
      <c r="M119" s="24">
        <f t="shared" si="4"/>
        <v>233.64724974684938</v>
      </c>
    </row>
    <row r="120" spans="1:13">
      <c r="A120" s="4">
        <v>41487</v>
      </c>
      <c r="B120" s="8">
        <v>1</v>
      </c>
      <c r="C120" s="8"/>
      <c r="D120" s="8"/>
      <c r="E120" s="8"/>
      <c r="F120" s="8"/>
      <c r="G120" s="8"/>
      <c r="H120" s="8"/>
      <c r="I120" s="8"/>
      <c r="J120" s="8"/>
      <c r="K120" s="17">
        <f t="shared" si="3"/>
        <v>1</v>
      </c>
      <c r="M120" s="24">
        <f t="shared" si="4"/>
        <v>233.64724974684938</v>
      </c>
    </row>
    <row r="121" spans="1:13">
      <c r="A121" s="4">
        <v>41518</v>
      </c>
      <c r="B121" s="8">
        <v>1</v>
      </c>
      <c r="C121" s="8"/>
      <c r="D121" s="8"/>
      <c r="E121" s="8"/>
      <c r="F121" s="8"/>
      <c r="G121" s="8"/>
      <c r="H121" s="8"/>
      <c r="I121" s="8"/>
      <c r="J121" s="8"/>
      <c r="K121" s="17">
        <f t="shared" si="3"/>
        <v>1</v>
      </c>
      <c r="M121" s="24">
        <f t="shared" si="4"/>
        <v>233.64724974684938</v>
      </c>
    </row>
    <row r="122" spans="1:13">
      <c r="A122" s="4">
        <v>41548</v>
      </c>
      <c r="B122" s="8">
        <v>1</v>
      </c>
      <c r="C122" s="8"/>
      <c r="D122" s="8"/>
      <c r="E122" s="8"/>
      <c r="F122" s="8"/>
      <c r="G122" s="8"/>
      <c r="H122" s="8"/>
      <c r="I122" s="8"/>
      <c r="J122" s="8"/>
      <c r="K122" s="17">
        <f t="shared" si="3"/>
        <v>1</v>
      </c>
      <c r="M122" s="24">
        <f t="shared" si="4"/>
        <v>233.64724974684938</v>
      </c>
    </row>
    <row r="123" spans="1:13">
      <c r="A123" s="4">
        <v>41579</v>
      </c>
      <c r="B123" s="8">
        <v>1</v>
      </c>
      <c r="C123" s="8"/>
      <c r="D123" s="8"/>
      <c r="E123" s="8"/>
      <c r="F123" s="8"/>
      <c r="G123" s="8"/>
      <c r="H123" s="8"/>
      <c r="I123" s="8"/>
      <c r="J123" s="8"/>
      <c r="K123" s="17">
        <f t="shared" si="3"/>
        <v>1</v>
      </c>
      <c r="M123" s="24">
        <f t="shared" si="4"/>
        <v>233.64724974684938</v>
      </c>
    </row>
    <row r="124" spans="1:13">
      <c r="A124" s="4">
        <v>41609</v>
      </c>
      <c r="B124" s="8">
        <v>1</v>
      </c>
      <c r="C124" s="8"/>
      <c r="D124" s="8"/>
      <c r="E124" s="8"/>
      <c r="F124" s="8"/>
      <c r="G124" s="8"/>
      <c r="H124" s="8"/>
      <c r="I124" s="8"/>
      <c r="J124" s="8"/>
      <c r="K124" s="17">
        <f t="shared" si="3"/>
        <v>1</v>
      </c>
      <c r="M124" s="24">
        <f t="shared" si="4"/>
        <v>233.64724974684938</v>
      </c>
    </row>
    <row r="125" spans="1:13">
      <c r="A125" s="4">
        <v>41640</v>
      </c>
      <c r="B125" s="8">
        <v>1</v>
      </c>
      <c r="C125" s="8"/>
      <c r="D125" s="8"/>
      <c r="E125" s="8"/>
      <c r="F125" s="8"/>
      <c r="G125" s="8"/>
      <c r="H125" s="8"/>
      <c r="I125" s="8"/>
      <c r="J125" s="8"/>
      <c r="K125" s="17">
        <f t="shared" si="3"/>
        <v>1</v>
      </c>
      <c r="M125" s="24">
        <f t="shared" si="4"/>
        <v>233.64724974684938</v>
      </c>
    </row>
    <row r="126" spans="1:13">
      <c r="A126" s="4">
        <v>41671</v>
      </c>
      <c r="B126" s="8">
        <v>1</v>
      </c>
      <c r="C126" s="8"/>
      <c r="D126" s="8"/>
      <c r="E126" s="8"/>
      <c r="F126" s="8"/>
      <c r="G126" s="8"/>
      <c r="H126" s="8"/>
      <c r="I126" s="8"/>
      <c r="J126" s="8"/>
      <c r="K126" s="17">
        <f t="shared" si="3"/>
        <v>1</v>
      </c>
      <c r="M126" s="24">
        <f t="shared" si="4"/>
        <v>233.64724974684938</v>
      </c>
    </row>
    <row r="127" spans="1:13">
      <c r="A127" s="4">
        <v>41699</v>
      </c>
      <c r="B127" s="8">
        <v>1</v>
      </c>
      <c r="C127" s="8"/>
      <c r="D127" s="8"/>
      <c r="E127" s="8"/>
      <c r="F127" s="8"/>
      <c r="G127" s="8"/>
      <c r="H127" s="8"/>
      <c r="I127" s="8"/>
      <c r="J127" s="8"/>
      <c r="K127" s="17">
        <f t="shared" si="3"/>
        <v>1</v>
      </c>
      <c r="M127" s="24">
        <f t="shared" si="4"/>
        <v>233.64724974684938</v>
      </c>
    </row>
    <row r="128" spans="1:13">
      <c r="A128" s="4">
        <v>41730</v>
      </c>
      <c r="B128" s="8">
        <v>1</v>
      </c>
      <c r="C128" s="8"/>
      <c r="D128" s="8"/>
      <c r="E128" s="8"/>
      <c r="F128" s="8"/>
      <c r="G128" s="8"/>
      <c r="H128" s="8"/>
      <c r="I128" s="8"/>
      <c r="J128" s="8"/>
      <c r="K128" s="17">
        <f t="shared" si="3"/>
        <v>1</v>
      </c>
      <c r="M128" s="24">
        <f t="shared" si="4"/>
        <v>233.64724974684938</v>
      </c>
    </row>
    <row r="129" spans="1:13">
      <c r="A129" s="4">
        <v>41760</v>
      </c>
      <c r="B129" s="8">
        <v>1</v>
      </c>
      <c r="C129" s="8"/>
      <c r="D129" s="8"/>
      <c r="E129" s="8"/>
      <c r="F129" s="8"/>
      <c r="G129" s="8"/>
      <c r="H129" s="8"/>
      <c r="I129" s="8"/>
      <c r="J129" s="8"/>
      <c r="K129" s="17">
        <f t="shared" si="3"/>
        <v>1</v>
      </c>
      <c r="M129" s="24">
        <f t="shared" si="4"/>
        <v>233.64724974684938</v>
      </c>
    </row>
    <row r="130" spans="1:13">
      <c r="A130" s="4">
        <v>41791</v>
      </c>
      <c r="B130" s="8">
        <v>1</v>
      </c>
      <c r="C130" s="8"/>
      <c r="D130" s="8"/>
      <c r="E130" s="8"/>
      <c r="F130" s="8"/>
      <c r="G130" s="8"/>
      <c r="H130" s="8"/>
      <c r="I130" s="8"/>
      <c r="J130" s="8"/>
      <c r="K130" s="17">
        <f t="shared" si="3"/>
        <v>1</v>
      </c>
      <c r="M130" s="24">
        <f t="shared" si="4"/>
        <v>233.64724974684938</v>
      </c>
    </row>
    <row r="131" spans="1:13">
      <c r="A131" s="4">
        <v>41821</v>
      </c>
      <c r="B131" s="8">
        <v>1</v>
      </c>
      <c r="C131" s="8"/>
      <c r="D131" s="8"/>
      <c r="E131" s="8"/>
      <c r="F131" s="8"/>
      <c r="G131" s="8"/>
      <c r="H131" s="8"/>
      <c r="I131" s="8"/>
      <c r="J131" s="8"/>
      <c r="K131" s="17">
        <f t="shared" si="3"/>
        <v>1</v>
      </c>
      <c r="M131" s="24">
        <f t="shared" si="4"/>
        <v>233.64724974684938</v>
      </c>
    </row>
    <row r="132" spans="1:13">
      <c r="A132" s="4">
        <v>41852</v>
      </c>
      <c r="B132" s="8">
        <v>1</v>
      </c>
      <c r="C132" s="8"/>
      <c r="D132" s="8"/>
      <c r="E132" s="8"/>
      <c r="F132" s="8"/>
      <c r="G132" s="8"/>
      <c r="H132" s="8"/>
      <c r="I132" s="8"/>
      <c r="J132" s="8"/>
      <c r="K132" s="17">
        <f t="shared" si="3"/>
        <v>1</v>
      </c>
      <c r="M132" s="24">
        <f t="shared" si="4"/>
        <v>233.64724974684938</v>
      </c>
    </row>
    <row r="133" spans="1:13">
      <c r="A133" s="4">
        <v>41883</v>
      </c>
      <c r="B133" s="8">
        <v>1</v>
      </c>
      <c r="C133" s="8"/>
      <c r="D133" s="8"/>
      <c r="E133" s="8"/>
      <c r="F133" s="8"/>
      <c r="G133" s="8"/>
      <c r="H133" s="8"/>
      <c r="I133" s="8"/>
      <c r="J133" s="8"/>
      <c r="K133" s="17">
        <f t="shared" si="3"/>
        <v>1</v>
      </c>
      <c r="M133" s="24">
        <f t="shared" si="4"/>
        <v>233.64724974684938</v>
      </c>
    </row>
    <row r="134" spans="1:13">
      <c r="A134" s="4">
        <v>41913</v>
      </c>
      <c r="B134" s="8">
        <v>1</v>
      </c>
      <c r="C134" s="8"/>
      <c r="D134" s="8"/>
      <c r="E134" s="8"/>
      <c r="F134" s="8"/>
      <c r="G134" s="8"/>
      <c r="H134" s="8"/>
      <c r="I134" s="8"/>
      <c r="J134" s="8"/>
      <c r="K134" s="17">
        <f t="shared" si="3"/>
        <v>1</v>
      </c>
      <c r="M134" s="24">
        <f t="shared" si="4"/>
        <v>233.64724974684938</v>
      </c>
    </row>
    <row r="135" spans="1:13">
      <c r="A135" s="4">
        <v>41944</v>
      </c>
      <c r="B135" s="8">
        <v>1</v>
      </c>
      <c r="C135" s="8"/>
      <c r="D135" s="8"/>
      <c r="E135" s="8"/>
      <c r="F135" s="8"/>
      <c r="G135" s="8"/>
      <c r="H135" s="8"/>
      <c r="I135" s="8"/>
      <c r="J135" s="8"/>
      <c r="K135" s="17">
        <f t="shared" si="3"/>
        <v>1</v>
      </c>
      <c r="M135" s="24">
        <f t="shared" si="4"/>
        <v>233.64724974684938</v>
      </c>
    </row>
    <row r="136" spans="1:13">
      <c r="A136" s="4">
        <v>41974</v>
      </c>
      <c r="B136" s="8">
        <v>1</v>
      </c>
      <c r="C136" s="8"/>
      <c r="D136" s="8"/>
      <c r="E136" s="8"/>
      <c r="F136" s="8"/>
      <c r="G136" s="8"/>
      <c r="H136" s="8"/>
      <c r="I136" s="8"/>
      <c r="J136" s="8"/>
      <c r="K136" s="17">
        <f t="shared" si="3"/>
        <v>1</v>
      </c>
      <c r="M136" s="24">
        <f t="shared" si="4"/>
        <v>233.64724974684938</v>
      </c>
    </row>
    <row r="139" spans="1:13">
      <c r="A139" s="6"/>
    </row>
    <row r="140" spans="1:13">
      <c r="A140" s="10"/>
      <c r="B140" s="8"/>
      <c r="C140" s="8"/>
      <c r="D140" s="8"/>
      <c r="E140" s="8"/>
      <c r="F140" s="8"/>
      <c r="G140" s="8"/>
      <c r="H140" s="8"/>
      <c r="I140" s="8"/>
      <c r="J140" s="8"/>
    </row>
    <row r="141" spans="1:13">
      <c r="A141" s="10"/>
      <c r="B141" s="8"/>
      <c r="C141" s="8"/>
      <c r="D141" s="8"/>
      <c r="E141" s="8"/>
      <c r="F141" s="8"/>
      <c r="G141" s="8"/>
      <c r="H141" s="8"/>
      <c r="I141" s="8"/>
      <c r="J141" s="8"/>
    </row>
    <row r="142" spans="1:13">
      <c r="A142" s="10"/>
      <c r="B142" s="8"/>
      <c r="C142" s="8"/>
      <c r="D142" s="8"/>
      <c r="E142" s="8"/>
      <c r="F142" s="8"/>
      <c r="G142" s="8"/>
      <c r="H142" s="8"/>
      <c r="I142" s="8"/>
      <c r="J142" s="8"/>
    </row>
    <row r="143" spans="1:13">
      <c r="A143" s="10"/>
      <c r="B143" s="8"/>
      <c r="C143" s="8"/>
      <c r="D143" s="8"/>
      <c r="E143" s="8"/>
      <c r="F143" s="8"/>
      <c r="G143" s="8"/>
      <c r="H143" s="8"/>
      <c r="I143" s="8"/>
      <c r="J143" s="8"/>
    </row>
    <row r="144" spans="1:13">
      <c r="A144" s="10"/>
      <c r="B144" s="8"/>
      <c r="C144" s="8"/>
      <c r="D144" s="8"/>
      <c r="E144" s="8"/>
      <c r="F144" s="8"/>
      <c r="G144" s="8"/>
      <c r="H144" s="8"/>
      <c r="I144" s="8"/>
      <c r="J144" s="8"/>
    </row>
  </sheetData>
  <pageMargins left="0.7" right="0.7" top="0.75" bottom="0.75" header="0.3" footer="0.3"/>
  <pageSetup paperSize="0" orientation="portrait" r:id="rId1"/>
  <legacyDrawing r:id="rId2"/>
</worksheet>
</file>

<file path=xl/worksheets/sheet12.xml><?xml version="1.0" encoding="utf-8"?>
<worksheet xmlns="http://schemas.openxmlformats.org/spreadsheetml/2006/main" xmlns:r="http://schemas.openxmlformats.org/officeDocument/2006/relationships">
  <dimension ref="A1:B7"/>
  <sheetViews>
    <sheetView workbookViewId="0"/>
  </sheetViews>
  <sheetFormatPr defaultRowHeight="15"/>
  <cols>
    <col min="1" max="1" width="17.42578125" bestFit="1" customWidth="1"/>
  </cols>
  <sheetData>
    <row r="1" spans="1:2">
      <c r="A1" s="33" t="s">
        <v>179</v>
      </c>
    </row>
    <row r="2" spans="1:2">
      <c r="A2" s="38" t="s">
        <v>180</v>
      </c>
    </row>
    <row r="4" spans="1:2">
      <c r="A4" s="5" t="s">
        <v>33</v>
      </c>
      <c r="B4" s="39" t="s">
        <v>176</v>
      </c>
    </row>
    <row r="5" spans="1:2">
      <c r="A5" t="s">
        <v>113</v>
      </c>
      <c r="B5" s="41">
        <f>0.582555289425263</f>
        <v>0.58255528942526302</v>
      </c>
    </row>
    <row r="6" spans="1:2">
      <c r="A6" t="s">
        <v>114</v>
      </c>
      <c r="B6" s="41">
        <f>0.0890780020071975</f>
        <v>8.9078002007197496E-2</v>
      </c>
    </row>
    <row r="7" spans="1:2">
      <c r="A7" t="s">
        <v>177</v>
      </c>
      <c r="B7" s="41">
        <f>0.32836670856754</f>
        <v>0.32836670856754002</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dimension ref="A1:F15"/>
  <sheetViews>
    <sheetView showGridLines="0" workbookViewId="0"/>
  </sheetViews>
  <sheetFormatPr defaultRowHeight="15"/>
  <cols>
    <col min="1" max="1" width="34.5703125" bestFit="1" customWidth="1"/>
    <col min="2" max="2" width="19.7109375" customWidth="1"/>
    <col min="3" max="3" width="16.7109375" customWidth="1"/>
    <col min="4" max="4" width="19.7109375" customWidth="1"/>
    <col min="5" max="5" width="5.7109375" customWidth="1"/>
    <col min="6" max="6" width="19.7109375" customWidth="1"/>
  </cols>
  <sheetData>
    <row r="1" spans="1:6" ht="18.75">
      <c r="A1" s="25" t="str">
        <f>"Table "&amp;B2&amp;".  Government Safety Net Program Weights"</f>
        <v>Table 3.5.  Government Safety Net Program Weights</v>
      </c>
    </row>
    <row r="2" spans="1:6" ht="18.75" hidden="1">
      <c r="A2" s="26" t="s">
        <v>85</v>
      </c>
      <c r="B2" s="27" t="s">
        <v>86</v>
      </c>
    </row>
    <row r="3" spans="1:6" ht="18.75">
      <c r="A3" s="26" t="s">
        <v>87</v>
      </c>
    </row>
    <row r="4" spans="1:6" ht="18.75">
      <c r="A4" s="26"/>
    </row>
    <row r="5" spans="1:6" ht="18.75">
      <c r="A5" s="26"/>
      <c r="B5" s="92" t="s">
        <v>88</v>
      </c>
      <c r="C5" s="92"/>
      <c r="D5" s="92"/>
    </row>
    <row r="6" spans="1:6" ht="9.9499999999999993" customHeight="1">
      <c r="A6" s="26"/>
      <c r="B6" s="28"/>
      <c r="C6" s="28"/>
      <c r="D6" s="28"/>
    </row>
    <row r="7" spans="1:6" ht="37.5">
      <c r="A7" s="26"/>
      <c r="B7" s="29" t="s">
        <v>89</v>
      </c>
      <c r="C7" s="30" t="s">
        <v>90</v>
      </c>
      <c r="D7" s="30" t="s">
        <v>91</v>
      </c>
      <c r="F7" s="30" t="s">
        <v>92</v>
      </c>
    </row>
    <row r="8" spans="1:6" ht="18.75">
      <c r="A8" s="26" t="s">
        <v>93</v>
      </c>
      <c r="B8" s="31">
        <f>UIWeights!$E$21</f>
        <v>0.62945495239817406</v>
      </c>
      <c r="C8" s="32">
        <v>0</v>
      </c>
      <c r="D8" s="32">
        <v>0</v>
      </c>
      <c r="F8" s="31">
        <f>SUMPRODUCT($B8:$D8,$B$13:$D$13)</f>
        <v>0.36669231197448343</v>
      </c>
    </row>
    <row r="9" spans="1:6" ht="18.75">
      <c r="A9" s="26" t="s">
        <v>94</v>
      </c>
      <c r="B9" s="31">
        <f>SNAPWeights!C7</f>
        <v>0.49537603589865087</v>
      </c>
      <c r="C9" s="31">
        <f>SNAPWeights!C12</f>
        <v>0.41833977384201693</v>
      </c>
      <c r="D9" s="31">
        <f>B9</f>
        <v>0.49537603589865087</v>
      </c>
      <c r="F9" s="31">
        <f t="shared" ref="F9:F11" si="0">SUMPRODUCT($B9:$D9,$B$13:$D$13)</f>
        <v>0.48851379959254337</v>
      </c>
    </row>
    <row r="10" spans="1:6" ht="18.75">
      <c r="A10" s="26" t="s">
        <v>95</v>
      </c>
      <c r="B10" s="31">
        <f>MedicaidWeights!$E$20*MedicaidWeights!$E$21</f>
        <v>0.4679369598308652</v>
      </c>
      <c r="C10" s="31">
        <f>$B10</f>
        <v>0.4679369598308652</v>
      </c>
      <c r="D10" s="31">
        <f>$B10</f>
        <v>0.4679369598308652</v>
      </c>
      <c r="F10" s="31">
        <f t="shared" si="0"/>
        <v>0.46793695983086547</v>
      </c>
    </row>
    <row r="11" spans="1:6" ht="18.75">
      <c r="A11" s="26" t="s">
        <v>96</v>
      </c>
      <c r="B11" s="31">
        <f>1-B8</f>
        <v>0.37054504760182594</v>
      </c>
      <c r="C11" s="31">
        <f>1-C8</f>
        <v>1</v>
      </c>
      <c r="D11" s="31">
        <f>B11</f>
        <v>0.37054504760182594</v>
      </c>
      <c r="F11" s="31">
        <f t="shared" si="0"/>
        <v>0.42661563711499106</v>
      </c>
    </row>
    <row r="12" spans="1:6" ht="18.75">
      <c r="A12" s="26"/>
      <c r="B12" s="31"/>
      <c r="C12" s="31"/>
    </row>
    <row r="13" spans="1:6" ht="18.75">
      <c r="A13" s="26" t="s">
        <v>97</v>
      </c>
      <c r="B13" s="31">
        <f>LFSWeights!$B$5</f>
        <v>0.58255528942526302</v>
      </c>
      <c r="C13" s="31">
        <f>LFSWeights!$B$6</f>
        <v>8.9078002007197496E-2</v>
      </c>
      <c r="D13" s="31">
        <f>LFSWeights!$B$7</f>
        <v>0.32836670856754002</v>
      </c>
      <c r="F13" s="31"/>
    </row>
    <row r="15" spans="1:6" ht="31.5" customHeight="1">
      <c r="A15" s="93" t="s">
        <v>98</v>
      </c>
      <c r="B15" s="93"/>
      <c r="C15" s="93"/>
      <c r="D15" s="93"/>
      <c r="E15" s="93"/>
      <c r="F15" s="93"/>
    </row>
  </sheetData>
  <mergeCells count="2">
    <mergeCell ref="B5:D5"/>
    <mergeCell ref="A15:F15"/>
  </mergeCells>
  <pageMargins left="0.7" right="0.7" top="0.75" bottom="0.75" header="0.3" footer="0.3"/>
  <pageSetup orientation="landscape" horizontalDpi="1200" verticalDpi="1200" r:id="rId1"/>
</worksheet>
</file>

<file path=xl/worksheets/sheet14.xml><?xml version="1.0" encoding="utf-8"?>
<worksheet xmlns="http://schemas.openxmlformats.org/spreadsheetml/2006/main" xmlns:r="http://schemas.openxmlformats.org/officeDocument/2006/relationships">
  <dimension ref="A1:N150"/>
  <sheetViews>
    <sheetView workbookViewId="0"/>
  </sheetViews>
  <sheetFormatPr defaultRowHeight="15"/>
  <cols>
    <col min="1" max="1" width="36.5703125" bestFit="1" customWidth="1"/>
    <col min="2" max="11" width="9.140625" customWidth="1"/>
  </cols>
  <sheetData>
    <row r="1" spans="1:1">
      <c r="A1" s="1" t="s">
        <v>259</v>
      </c>
    </row>
    <row r="2" spans="1:1">
      <c r="A2" s="1"/>
    </row>
    <row r="18" spans="1:14">
      <c r="L18" s="16"/>
    </row>
    <row r="19" spans="1:14">
      <c r="A19" s="6" t="s">
        <v>262</v>
      </c>
      <c r="L19" s="16"/>
    </row>
    <row r="20" spans="1:14">
      <c r="A20" s="2" t="s">
        <v>120</v>
      </c>
      <c r="B20" s="18">
        <f>Tbl3.5!B8</f>
        <v>0.62945495239817406</v>
      </c>
      <c r="C20" s="18">
        <f>UIWeights!$E$23</f>
        <v>0.44628365497906464</v>
      </c>
      <c r="D20" s="18">
        <f>Tbl3.5!B9</f>
        <v>0.49537603589865087</v>
      </c>
      <c r="E20" s="18">
        <f>Tbl3.5!B10</f>
        <v>0.4679369598308652</v>
      </c>
      <c r="F20" s="18">
        <f>Tbl3.5!B11</f>
        <v>0.37054504760182594</v>
      </c>
      <c r="L20" s="16"/>
    </row>
    <row r="21" spans="1:14">
      <c r="A21" s="2" t="s">
        <v>114</v>
      </c>
      <c r="B21" s="10">
        <f>Tbl3.5!C8</f>
        <v>0</v>
      </c>
      <c r="C21" s="10">
        <v>0</v>
      </c>
      <c r="D21" s="18">
        <f>Tbl3.5!C9</f>
        <v>0.41833977384201693</v>
      </c>
      <c r="E21" s="18">
        <f>Tbl3.5!C10</f>
        <v>0.4679369598308652</v>
      </c>
      <c r="F21" s="18">
        <f>Tbl3.5!C11</f>
        <v>1</v>
      </c>
      <c r="L21" s="16"/>
    </row>
    <row r="22" spans="1:14">
      <c r="A22" s="2" t="s">
        <v>263</v>
      </c>
      <c r="B22" s="10">
        <f>Tbl3.5!D8</f>
        <v>0</v>
      </c>
      <c r="C22" s="10">
        <v>0</v>
      </c>
      <c r="D22" s="18">
        <f>Tbl3.5!D9</f>
        <v>0.49537603589865087</v>
      </c>
      <c r="E22" s="18">
        <f>Tbl3.5!D10</f>
        <v>0.4679369598308652</v>
      </c>
      <c r="F22" s="18">
        <f>Tbl3.5!D11</f>
        <v>0.37054504760182594</v>
      </c>
      <c r="L22" s="16"/>
    </row>
    <row r="23" spans="1:14">
      <c r="L23" s="16"/>
    </row>
    <row r="24" spans="1:14">
      <c r="B24" s="94" t="s">
        <v>264</v>
      </c>
      <c r="C24" s="94"/>
      <c r="D24" s="94"/>
      <c r="E24" s="94"/>
      <c r="F24" s="94"/>
      <c r="H24" t="s">
        <v>265</v>
      </c>
      <c r="L24" s="16"/>
    </row>
    <row r="25" spans="1:14">
      <c r="B25" s="2" t="s">
        <v>260</v>
      </c>
      <c r="C25" s="2" t="s">
        <v>362</v>
      </c>
      <c r="D25" s="2" t="s">
        <v>94</v>
      </c>
      <c r="E25" s="2" t="s">
        <v>95</v>
      </c>
      <c r="F25" s="2" t="s">
        <v>261</v>
      </c>
      <c r="H25" t="s">
        <v>89</v>
      </c>
      <c r="I25" t="s">
        <v>284</v>
      </c>
      <c r="J25" t="s">
        <v>285</v>
      </c>
      <c r="K25" s="16" t="s">
        <v>266</v>
      </c>
      <c r="L25" s="16"/>
    </row>
    <row r="26" spans="1:14">
      <c r="K26" s="16"/>
      <c r="L26" s="16"/>
    </row>
    <row r="27" spans="1:14">
      <c r="A27" s="2" t="s">
        <v>30</v>
      </c>
      <c r="B27" s="7">
        <f>AVERAGE(B$74:B$85)</f>
        <v>1397.455408849597</v>
      </c>
      <c r="C27" s="7">
        <f>AVERAGE(C$74:C$85)</f>
        <v>0</v>
      </c>
      <c r="D27" s="7">
        <f>AVERAGE(D$74:D$85)</f>
        <v>316.10966343264789</v>
      </c>
      <c r="E27" s="7">
        <f>AVERAGE(E$74:E$85)</f>
        <v>357.99499046158434</v>
      </c>
      <c r="F27" s="7">
        <f>AVERAGE(F$74:F$85)</f>
        <v>233.64724974684938</v>
      </c>
      <c r="G27" s="8"/>
      <c r="H27" s="8"/>
      <c r="I27" s="8"/>
      <c r="J27" s="8"/>
      <c r="K27" s="17"/>
      <c r="L27" s="17"/>
      <c r="N27" s="24"/>
    </row>
    <row r="28" spans="1:14">
      <c r="K28" s="16"/>
      <c r="L28" s="16"/>
    </row>
    <row r="29" spans="1:14">
      <c r="A29" s="4">
        <v>38718</v>
      </c>
      <c r="B29" s="7">
        <f>VLOOKUP($A29,UIElg!$A$29:$K$136,11)*VLOOKUP($A29,UIBen!$A$29:$K$136,11)</f>
        <v>794.76175330833075</v>
      </c>
      <c r="C29" s="7">
        <f>VLOOKUP($A29,UIElg!$A$29:$M$136,13)*VLOOKUP($A29,UIBen!$A$29:$M$136,13)</f>
        <v>0</v>
      </c>
      <c r="D29" s="7">
        <f>VLOOKUP($A29,SNAPElg!$A$29:$K$136,11)*VLOOKUP($A29,SNAPBen!$A$29:$K$136,11)</f>
        <v>195.96043074398764</v>
      </c>
      <c r="E29" s="7">
        <f>VLOOKUP($A29,MedicaidElgBen!$A$29:$M$136,11)*VLOOKUP($A29,MedicaidElgBen!$A$29:$M$136,13)</f>
        <v>357.99499046158439</v>
      </c>
      <c r="F29" s="7">
        <f>VLOOKUP($A29,OtherElgBen!$A$29:$M$136,11)*VLOOKUP($A29,OtherElgBen!$A$29:$M$136,13)</f>
        <v>233.64724974684938</v>
      </c>
      <c r="G29" s="8"/>
      <c r="H29" s="7">
        <f>SUMPRODUCT($B$20:$F$20,$B29:$F29)</f>
        <v>851.43674172228873</v>
      </c>
      <c r="I29" s="7">
        <f>SUMPRODUCT($B$21:$F$21,$B29:$F29)</f>
        <v>483.14437949754677</v>
      </c>
      <c r="J29" s="7">
        <f>SUMPRODUCT($B$22:$F$22,$B29:$F29)</f>
        <v>351.17002012570413</v>
      </c>
      <c r="K29" s="65">
        <f>SUMPRODUCT(H29:J29,Tbl3.5!$B$13:$D$13)</f>
        <v>654.35905716425373</v>
      </c>
      <c r="L29" s="17"/>
      <c r="N29" s="24"/>
    </row>
    <row r="30" spans="1:14">
      <c r="A30" s="4">
        <v>38749</v>
      </c>
      <c r="B30" s="7">
        <f>VLOOKUP($A30,UIElg!$A$29:$K$136,11)*VLOOKUP($A30,UIBen!$A$29:$K$136,11)</f>
        <v>794.76175330833075</v>
      </c>
      <c r="C30" s="7">
        <f>VLOOKUP($A30,UIElg!$A$29:$M$136,13)*VLOOKUP($A30,UIBen!$A$29:$M$136,13)</f>
        <v>0</v>
      </c>
      <c r="D30" s="7">
        <f>VLOOKUP($A30,SNAPElg!$A$29:$K$136,11)*VLOOKUP($A30,SNAPBen!$A$29:$K$136,11)</f>
        <v>195.88339924481551</v>
      </c>
      <c r="E30" s="7">
        <f>VLOOKUP($A30,MedicaidElgBen!$A$29:$M$136,11)*VLOOKUP($A30,MedicaidElgBen!$A$29:$M$136,13)</f>
        <v>357.99499046158439</v>
      </c>
      <c r="F30" s="7">
        <f>VLOOKUP($A30,OtherElgBen!$A$29:$M$136,11)*VLOOKUP($A30,OtherElgBen!$A$29:$M$136,13)</f>
        <v>233.64724974684938</v>
      </c>
      <c r="G30" s="8"/>
      <c r="H30" s="7">
        <f t="shared" ref="H30:H93" si="0">SUMPRODUCT($B$20:$F$20,$B30:$F30)</f>
        <v>851.39858216358959</v>
      </c>
      <c r="I30" s="7">
        <f t="shared" ref="I30:I93" si="1">SUMPRODUCT($B$21:$F$21,$B30:$F30)</f>
        <v>483.11215415760444</v>
      </c>
      <c r="J30" s="7">
        <f t="shared" ref="J30:J93" si="2">SUMPRODUCT($B$22:$F$22,$B30:$F30)</f>
        <v>351.13186056700488</v>
      </c>
      <c r="K30" s="65">
        <f>SUMPRODUCT(H30:J30,Tbl3.5!$B$13:$D$13)</f>
        <v>654.32142621390483</v>
      </c>
      <c r="L30" s="17"/>
      <c r="N30" s="24"/>
    </row>
    <row r="31" spans="1:14">
      <c r="A31" s="4">
        <v>38777</v>
      </c>
      <c r="B31" s="7">
        <f>VLOOKUP($A31,UIElg!$A$29:$K$136,11)*VLOOKUP($A31,UIBen!$A$29:$K$136,11)</f>
        <v>794.76175330833075</v>
      </c>
      <c r="C31" s="7">
        <f>VLOOKUP($A31,UIElg!$A$29:$M$136,13)*VLOOKUP($A31,UIBen!$A$29:$M$136,13)</f>
        <v>0</v>
      </c>
      <c r="D31" s="7">
        <f>VLOOKUP($A31,SNAPElg!$A$29:$K$136,11)*VLOOKUP($A31,SNAPBen!$A$29:$K$136,11)</f>
        <v>195.58931177379276</v>
      </c>
      <c r="E31" s="7">
        <f>VLOOKUP($A31,MedicaidElgBen!$A$29:$M$136,11)*VLOOKUP($A31,MedicaidElgBen!$A$29:$M$136,13)</f>
        <v>357.99499046158439</v>
      </c>
      <c r="F31" s="7">
        <f>VLOOKUP($A31,OtherElgBen!$A$29:$M$136,11)*VLOOKUP($A31,OtherElgBen!$A$29:$M$136,13)</f>
        <v>233.64724974684938</v>
      </c>
      <c r="G31" s="8"/>
      <c r="H31" s="7">
        <f t="shared" si="0"/>
        <v>851.2528982779869</v>
      </c>
      <c r="I31" s="7">
        <f t="shared" si="1"/>
        <v>482.98912567148693</v>
      </c>
      <c r="J31" s="7">
        <f t="shared" si="2"/>
        <v>350.98617668140218</v>
      </c>
      <c r="K31" s="65">
        <f>SUMPRODUCT(H31:J31,Tbl3.5!$B$13:$D$13)</f>
        <v>654.17776042602304</v>
      </c>
      <c r="L31" s="17"/>
      <c r="N31" s="24"/>
    </row>
    <row r="32" spans="1:14">
      <c r="A32" s="4">
        <v>38808</v>
      </c>
      <c r="B32" s="7">
        <f>VLOOKUP($A32,UIElg!$A$29:$K$136,11)*VLOOKUP($A32,UIBen!$A$29:$K$136,11)</f>
        <v>794.76175330833075</v>
      </c>
      <c r="C32" s="7">
        <f>VLOOKUP($A32,UIElg!$A$29:$M$136,13)*VLOOKUP($A32,UIBen!$A$29:$M$136,13)</f>
        <v>0</v>
      </c>
      <c r="D32" s="7">
        <f>VLOOKUP($A32,SNAPElg!$A$29:$K$136,11)*VLOOKUP($A32,SNAPBen!$A$29:$K$136,11)</f>
        <v>194.81509054044849</v>
      </c>
      <c r="E32" s="7">
        <f>VLOOKUP($A32,MedicaidElgBen!$A$29:$M$136,11)*VLOOKUP($A32,MedicaidElgBen!$A$29:$M$136,13)</f>
        <v>357.99499046158439</v>
      </c>
      <c r="F32" s="7">
        <f>VLOOKUP($A32,OtherElgBen!$A$29:$M$136,11)*VLOOKUP($A32,OtherElgBen!$A$29:$M$136,13)</f>
        <v>233.64724974684938</v>
      </c>
      <c r="G32" s="8"/>
      <c r="H32" s="7">
        <f t="shared" si="0"/>
        <v>850.86936763250435</v>
      </c>
      <c r="I32" s="7">
        <f t="shared" si="1"/>
        <v>482.66523813582603</v>
      </c>
      <c r="J32" s="7">
        <f t="shared" si="2"/>
        <v>350.60264603591952</v>
      </c>
      <c r="K32" s="65">
        <f>SUMPRODUCT(H32:J32,Tbl3.5!$B$13:$D$13)</f>
        <v>653.79954266959692</v>
      </c>
      <c r="L32" s="17"/>
      <c r="N32" s="24"/>
    </row>
    <row r="33" spans="1:14">
      <c r="A33" s="4">
        <v>38838</v>
      </c>
      <c r="B33" s="7">
        <f>VLOOKUP($A33,UIElg!$A$29:$K$136,11)*VLOOKUP($A33,UIBen!$A$29:$K$136,11)</f>
        <v>794.76175330833075</v>
      </c>
      <c r="C33" s="7">
        <f>VLOOKUP($A33,UIElg!$A$29:$M$136,13)*VLOOKUP($A33,UIBen!$A$29:$M$136,13)</f>
        <v>0</v>
      </c>
      <c r="D33" s="7">
        <f>VLOOKUP($A33,SNAPElg!$A$29:$K$136,11)*VLOOKUP($A33,SNAPBen!$A$29:$K$136,11)</f>
        <v>194.33075464863111</v>
      </c>
      <c r="E33" s="7">
        <f>VLOOKUP($A33,MedicaidElgBen!$A$29:$M$136,11)*VLOOKUP($A33,MedicaidElgBen!$A$29:$M$136,13)</f>
        <v>357.99499046158439</v>
      </c>
      <c r="F33" s="7">
        <f>VLOOKUP($A33,OtherElgBen!$A$29:$M$136,11)*VLOOKUP($A33,OtherElgBen!$A$29:$M$136,13)</f>
        <v>233.64724974684938</v>
      </c>
      <c r="G33" s="8"/>
      <c r="H33" s="7">
        <f t="shared" si="0"/>
        <v>850.62943923837236</v>
      </c>
      <c r="I33" s="7">
        <f t="shared" si="1"/>
        <v>482.4626211683796</v>
      </c>
      <c r="J33" s="7">
        <f t="shared" si="2"/>
        <v>350.36271764178758</v>
      </c>
      <c r="K33" s="65">
        <f>SUMPRODUCT(H33:J33,Tbl3.5!$B$13:$D$13)</f>
        <v>653.56293790280608</v>
      </c>
      <c r="L33" s="17"/>
      <c r="N33" s="24"/>
    </row>
    <row r="34" spans="1:14">
      <c r="A34" s="4">
        <v>38869</v>
      </c>
      <c r="B34" s="7">
        <f>VLOOKUP($A34,UIElg!$A$29:$K$136,11)*VLOOKUP($A34,UIBen!$A$29:$K$136,11)</f>
        <v>794.76175330833075</v>
      </c>
      <c r="C34" s="7">
        <f>VLOOKUP($A34,UIElg!$A$29:$M$136,13)*VLOOKUP($A34,UIBen!$A$29:$M$136,13)</f>
        <v>0</v>
      </c>
      <c r="D34" s="7">
        <f>VLOOKUP($A34,SNAPElg!$A$29:$K$136,11)*VLOOKUP($A34,SNAPBen!$A$29:$K$136,11)</f>
        <v>193.96766451820679</v>
      </c>
      <c r="E34" s="7">
        <f>VLOOKUP($A34,MedicaidElgBen!$A$29:$M$136,11)*VLOOKUP($A34,MedicaidElgBen!$A$29:$M$136,13)</f>
        <v>357.99499046158439</v>
      </c>
      <c r="F34" s="7">
        <f>VLOOKUP($A34,OtherElgBen!$A$29:$M$136,11)*VLOOKUP($A34,OtherElgBen!$A$29:$M$136,13)</f>
        <v>233.64724974684938</v>
      </c>
      <c r="G34" s="8"/>
      <c r="H34" s="7">
        <f t="shared" si="0"/>
        <v>850.44957308888877</v>
      </c>
      <c r="I34" s="7">
        <f t="shared" si="1"/>
        <v>482.31072612533364</v>
      </c>
      <c r="J34" s="7">
        <f t="shared" si="2"/>
        <v>350.18285149230405</v>
      </c>
      <c r="K34" s="65">
        <f>SUMPRODUCT(H34:J34,Tbl3.5!$B$13:$D$13)</f>
        <v>653.38556336359795</v>
      </c>
      <c r="L34" s="17"/>
      <c r="N34" s="24"/>
    </row>
    <row r="35" spans="1:14">
      <c r="A35" s="4">
        <v>38899</v>
      </c>
      <c r="B35" s="7">
        <f>VLOOKUP($A35,UIElg!$A$29:$K$136,11)*VLOOKUP($A35,UIBen!$A$29:$K$136,11)</f>
        <v>794.76175330833075</v>
      </c>
      <c r="C35" s="7">
        <f>VLOOKUP($A35,UIElg!$A$29:$M$136,13)*VLOOKUP($A35,UIBen!$A$29:$M$136,13)</f>
        <v>0</v>
      </c>
      <c r="D35" s="7">
        <f>VLOOKUP($A35,SNAPElg!$A$29:$K$136,11)*VLOOKUP($A35,SNAPBen!$A$29:$K$136,11)</f>
        <v>193.34863879673532</v>
      </c>
      <c r="E35" s="7">
        <f>VLOOKUP($A35,MedicaidElgBen!$A$29:$M$136,11)*VLOOKUP($A35,MedicaidElgBen!$A$29:$M$136,13)</f>
        <v>357.99499046158439</v>
      </c>
      <c r="F35" s="7">
        <f>VLOOKUP($A35,OtherElgBen!$A$29:$M$136,11)*VLOOKUP($A35,OtherElgBen!$A$29:$M$136,13)</f>
        <v>233.64724974684938</v>
      </c>
      <c r="G35" s="8"/>
      <c r="H35" s="7">
        <f t="shared" si="0"/>
        <v>850.14292258086687</v>
      </c>
      <c r="I35" s="7">
        <f t="shared" si="1"/>
        <v>482.05176304501083</v>
      </c>
      <c r="J35" s="7">
        <f t="shared" si="2"/>
        <v>349.87620098428226</v>
      </c>
      <c r="K35" s="65">
        <f>SUMPRODUCT(H35:J35,Tbl3.5!$B$13:$D$13)</f>
        <v>653.08316075635628</v>
      </c>
      <c r="L35" s="17"/>
      <c r="N35" s="24"/>
    </row>
    <row r="36" spans="1:14">
      <c r="A36" s="4">
        <v>38930</v>
      </c>
      <c r="B36" s="7">
        <f>VLOOKUP($A36,UIElg!$A$29:$K$136,11)*VLOOKUP($A36,UIBen!$A$29:$K$136,11)</f>
        <v>794.76175330833075</v>
      </c>
      <c r="C36" s="7">
        <f>VLOOKUP($A36,UIElg!$A$29:$M$136,13)*VLOOKUP($A36,UIBen!$A$29:$M$136,13)</f>
        <v>0</v>
      </c>
      <c r="D36" s="7">
        <f>VLOOKUP($A36,SNAPElg!$A$29:$K$136,11)*VLOOKUP($A36,SNAPBen!$A$29:$K$136,11)</f>
        <v>192.60318655659486</v>
      </c>
      <c r="E36" s="7">
        <f>VLOOKUP($A36,MedicaidElgBen!$A$29:$M$136,11)*VLOOKUP($A36,MedicaidElgBen!$A$29:$M$136,13)</f>
        <v>357.99499046158439</v>
      </c>
      <c r="F36" s="7">
        <f>VLOOKUP($A36,OtherElgBen!$A$29:$M$136,11)*VLOOKUP($A36,OtherElgBen!$A$29:$M$136,13)</f>
        <v>233.64724974684938</v>
      </c>
      <c r="G36" s="8"/>
      <c r="H36" s="7">
        <f t="shared" si="0"/>
        <v>849.77364340519432</v>
      </c>
      <c r="I36" s="7">
        <f t="shared" si="1"/>
        <v>481.73991072346047</v>
      </c>
      <c r="J36" s="7">
        <f t="shared" si="2"/>
        <v>349.50692180860972</v>
      </c>
      <c r="K36" s="65">
        <f>SUMPRODUCT(H36:J36,Tbl3.5!$B$13:$D$13)</f>
        <v>652.71899705011049</v>
      </c>
      <c r="L36" s="17"/>
      <c r="N36" s="24"/>
    </row>
    <row r="37" spans="1:14">
      <c r="A37" s="4">
        <v>38961</v>
      </c>
      <c r="B37" s="7">
        <f>VLOOKUP($A37,UIElg!$A$29:$K$136,11)*VLOOKUP($A37,UIBen!$A$29:$K$136,11)</f>
        <v>794.76175330833075</v>
      </c>
      <c r="C37" s="7">
        <f>VLOOKUP($A37,UIElg!$A$29:$M$136,13)*VLOOKUP($A37,UIBen!$A$29:$M$136,13)</f>
        <v>0</v>
      </c>
      <c r="D37" s="7">
        <f>VLOOKUP($A37,SNAPElg!$A$29:$K$136,11)*VLOOKUP($A37,SNAPBen!$A$29:$K$136,11)</f>
        <v>192.99481185483447</v>
      </c>
      <c r="E37" s="7">
        <f>VLOOKUP($A37,MedicaidElgBen!$A$29:$M$136,11)*VLOOKUP($A37,MedicaidElgBen!$A$29:$M$136,13)</f>
        <v>357.99499046158439</v>
      </c>
      <c r="F37" s="7">
        <f>VLOOKUP($A37,OtherElgBen!$A$29:$M$136,11)*VLOOKUP($A37,OtherElgBen!$A$29:$M$136,13)</f>
        <v>233.64724974684938</v>
      </c>
      <c r="G37" s="8"/>
      <c r="H37" s="7">
        <f t="shared" si="0"/>
        <v>849.96764519299393</v>
      </c>
      <c r="I37" s="7">
        <f t="shared" si="1"/>
        <v>481.90374316215684</v>
      </c>
      <c r="J37" s="7">
        <f t="shared" si="2"/>
        <v>349.70092359640927</v>
      </c>
      <c r="K37" s="65">
        <f>SUMPRODUCT(H37:J37,Tbl3.5!$B$13:$D$13)</f>
        <v>652.91031141257019</v>
      </c>
      <c r="L37" s="17"/>
      <c r="N37" s="24"/>
    </row>
    <row r="38" spans="1:14">
      <c r="A38" s="4">
        <v>38991</v>
      </c>
      <c r="B38" s="7">
        <f>VLOOKUP($A38,UIElg!$A$29:$K$136,11)*VLOOKUP($A38,UIBen!$A$29:$K$136,11)</f>
        <v>794.76175330833075</v>
      </c>
      <c r="C38" s="7">
        <f>VLOOKUP($A38,UIElg!$A$29:$M$136,13)*VLOOKUP($A38,UIBen!$A$29:$M$136,13)</f>
        <v>0</v>
      </c>
      <c r="D38" s="7">
        <f>VLOOKUP($A38,SNAPElg!$A$29:$K$136,11)*VLOOKUP($A38,SNAPBen!$A$29:$K$136,11)</f>
        <v>198.84438475765063</v>
      </c>
      <c r="E38" s="7">
        <f>VLOOKUP($A38,MedicaidElgBen!$A$29:$M$136,11)*VLOOKUP($A38,MedicaidElgBen!$A$29:$M$136,13)</f>
        <v>357.99499046158439</v>
      </c>
      <c r="F38" s="7">
        <f>VLOOKUP($A38,OtherElgBen!$A$29:$M$136,11)*VLOOKUP($A38,OtherElgBen!$A$29:$M$136,13)</f>
        <v>233.64724974684938</v>
      </c>
      <c r="G38" s="8"/>
      <c r="H38" s="7">
        <f t="shared" si="0"/>
        <v>852.86538342929123</v>
      </c>
      <c r="I38" s="7">
        <f t="shared" si="1"/>
        <v>484.35085216739333</v>
      </c>
      <c r="J38" s="7">
        <f t="shared" si="2"/>
        <v>352.59866183270651</v>
      </c>
      <c r="K38" s="65">
        <f>SUMPRODUCT(H38:J38,Tbl3.5!$B$13:$D$13)</f>
        <v>655.76790849731844</v>
      </c>
      <c r="L38" s="17"/>
      <c r="N38" s="24"/>
    </row>
    <row r="39" spans="1:14">
      <c r="A39" s="4">
        <v>39022</v>
      </c>
      <c r="B39" s="7">
        <f>VLOOKUP($A39,UIElg!$A$29:$K$136,11)*VLOOKUP($A39,UIBen!$A$29:$K$136,11)</f>
        <v>794.76175330833075</v>
      </c>
      <c r="C39" s="7">
        <f>VLOOKUP($A39,UIElg!$A$29:$M$136,13)*VLOOKUP($A39,UIBen!$A$29:$M$136,13)</f>
        <v>0</v>
      </c>
      <c r="D39" s="7">
        <f>VLOOKUP($A39,SNAPElg!$A$29:$K$136,11)*VLOOKUP($A39,SNAPBen!$A$29:$K$136,11)</f>
        <v>198.59190964882126</v>
      </c>
      <c r="E39" s="7">
        <f>VLOOKUP($A39,MedicaidElgBen!$A$29:$M$136,11)*VLOOKUP($A39,MedicaidElgBen!$A$29:$M$136,13)</f>
        <v>357.99499046158439</v>
      </c>
      <c r="F39" s="7">
        <f>VLOOKUP($A39,OtherElgBen!$A$29:$M$136,11)*VLOOKUP($A39,OtherElgBen!$A$29:$M$136,13)</f>
        <v>233.64724974684938</v>
      </c>
      <c r="G39" s="8"/>
      <c r="H39" s="7">
        <f t="shared" si="0"/>
        <v>852.74031331071626</v>
      </c>
      <c r="I39" s="7">
        <f t="shared" si="1"/>
        <v>484.24523178746495</v>
      </c>
      <c r="J39" s="7">
        <f t="shared" si="2"/>
        <v>352.47359171413154</v>
      </c>
      <c r="K39" s="65">
        <f>SUMPRODUCT(H39:J39,Tbl3.5!$B$13:$D$13)</f>
        <v>655.6445709226017</v>
      </c>
      <c r="L39" s="17"/>
      <c r="N39" s="24"/>
    </row>
    <row r="40" spans="1:14">
      <c r="A40" s="4">
        <v>39052</v>
      </c>
      <c r="B40" s="7">
        <f>VLOOKUP($A40,UIElg!$A$29:$K$136,11)*VLOOKUP($A40,UIBen!$A$29:$K$136,11)</f>
        <v>794.76175330833075</v>
      </c>
      <c r="C40" s="7">
        <f>VLOOKUP($A40,UIElg!$A$29:$M$136,13)*VLOOKUP($A40,UIBen!$A$29:$M$136,13)</f>
        <v>0</v>
      </c>
      <c r="D40" s="7">
        <f>VLOOKUP($A40,SNAPElg!$A$29:$K$136,11)*VLOOKUP($A40,SNAPBen!$A$29:$K$136,11)</f>
        <v>199.33987663850411</v>
      </c>
      <c r="E40" s="7">
        <f>VLOOKUP($A40,MedicaidElgBen!$A$29:$M$136,11)*VLOOKUP($A40,MedicaidElgBen!$A$29:$M$136,13)</f>
        <v>357.99499046158439</v>
      </c>
      <c r="F40" s="7">
        <f>VLOOKUP($A40,OtherElgBen!$A$29:$M$136,11)*VLOOKUP($A40,OtherElgBen!$A$29:$M$136,13)</f>
        <v>233.64724974684938</v>
      </c>
      <c r="G40" s="8"/>
      <c r="H40" s="7">
        <f t="shared" si="0"/>
        <v>853.11083823304841</v>
      </c>
      <c r="I40" s="7">
        <f t="shared" si="1"/>
        <v>484.55813612877012</v>
      </c>
      <c r="J40" s="7">
        <f t="shared" si="2"/>
        <v>352.84411663646364</v>
      </c>
      <c r="K40" s="65">
        <f>SUMPRODUCT(H40:J40,Tbl3.5!$B$13:$D$13)</f>
        <v>656.00996311870142</v>
      </c>
      <c r="L40" s="17"/>
      <c r="N40" s="24"/>
    </row>
    <row r="41" spans="1:14">
      <c r="A41" s="4">
        <v>39083</v>
      </c>
      <c r="B41" s="7">
        <f>VLOOKUP($A41,UIElg!$A$29:$K$136,11)*VLOOKUP($A41,UIBen!$A$29:$K$136,11)</f>
        <v>794.76175330833075</v>
      </c>
      <c r="C41" s="7">
        <f>VLOOKUP($A41,UIElg!$A$29:$M$136,13)*VLOOKUP($A41,UIBen!$A$29:$M$136,13)</f>
        <v>0</v>
      </c>
      <c r="D41" s="7">
        <f>VLOOKUP($A41,SNAPElg!$A$29:$K$136,11)*VLOOKUP($A41,SNAPBen!$A$29:$K$136,11)</f>
        <v>198.75268550392337</v>
      </c>
      <c r="E41" s="7">
        <f>VLOOKUP($A41,MedicaidElgBen!$A$29:$M$136,11)*VLOOKUP($A41,MedicaidElgBen!$A$29:$M$136,13)</f>
        <v>357.99499046158439</v>
      </c>
      <c r="F41" s="7">
        <f>VLOOKUP($A41,OtherElgBen!$A$29:$M$136,11)*VLOOKUP($A41,OtherElgBen!$A$29:$M$136,13)</f>
        <v>233.64724974684938</v>
      </c>
      <c r="G41" s="8"/>
      <c r="H41" s="7">
        <f t="shared" si="0"/>
        <v>852.81995781648504</v>
      </c>
      <c r="I41" s="7">
        <f t="shared" si="1"/>
        <v>484.3124907223276</v>
      </c>
      <c r="J41" s="7">
        <f t="shared" si="2"/>
        <v>352.55323621990021</v>
      </c>
      <c r="K41" s="65">
        <f>SUMPRODUCT(H41:J41,Tbl3.5!$B$13:$D$13)</f>
        <v>655.72311214646038</v>
      </c>
      <c r="L41" s="17"/>
      <c r="N41" s="24"/>
    </row>
    <row r="42" spans="1:14">
      <c r="A42" s="4">
        <v>39114</v>
      </c>
      <c r="B42" s="7">
        <f>VLOOKUP($A42,UIElg!$A$29:$K$136,11)*VLOOKUP($A42,UIBen!$A$29:$K$136,11)</f>
        <v>794.76175330833075</v>
      </c>
      <c r="C42" s="7">
        <f>VLOOKUP($A42,UIElg!$A$29:$M$136,13)*VLOOKUP($A42,UIBen!$A$29:$M$136,13)</f>
        <v>0</v>
      </c>
      <c r="D42" s="7">
        <f>VLOOKUP($A42,SNAPElg!$A$29:$K$136,11)*VLOOKUP($A42,SNAPBen!$A$29:$K$136,11)</f>
        <v>198.03778893140981</v>
      </c>
      <c r="E42" s="7">
        <f>VLOOKUP($A42,MedicaidElgBen!$A$29:$M$136,11)*VLOOKUP($A42,MedicaidElgBen!$A$29:$M$136,13)</f>
        <v>357.99499046158439</v>
      </c>
      <c r="F42" s="7">
        <f>VLOOKUP($A42,OtherElgBen!$A$29:$M$136,11)*VLOOKUP($A42,OtherElgBen!$A$29:$M$136,13)</f>
        <v>233.64724974684938</v>
      </c>
      <c r="G42" s="8"/>
      <c r="H42" s="7">
        <f t="shared" si="0"/>
        <v>852.46581518631558</v>
      </c>
      <c r="I42" s="7">
        <f t="shared" si="1"/>
        <v>484.01342105186188</v>
      </c>
      <c r="J42" s="7">
        <f t="shared" si="2"/>
        <v>352.19909358973092</v>
      </c>
      <c r="K42" s="65">
        <f>SUMPRODUCT(H42:J42,Tbl3.5!$B$13:$D$13)</f>
        <v>655.37387530550609</v>
      </c>
      <c r="L42" s="17"/>
      <c r="N42" s="24"/>
    </row>
    <row r="43" spans="1:14">
      <c r="A43" s="4">
        <v>39142</v>
      </c>
      <c r="B43" s="7">
        <f>VLOOKUP($A43,UIElg!$A$29:$K$136,11)*VLOOKUP($A43,UIBen!$A$29:$K$136,11)</f>
        <v>794.76175330833075</v>
      </c>
      <c r="C43" s="7">
        <f>VLOOKUP($A43,UIElg!$A$29:$M$136,13)*VLOOKUP($A43,UIBen!$A$29:$M$136,13)</f>
        <v>0</v>
      </c>
      <c r="D43" s="7">
        <f>VLOOKUP($A43,SNAPElg!$A$29:$K$136,11)*VLOOKUP($A43,SNAPBen!$A$29:$K$136,11)</f>
        <v>197.26768507335984</v>
      </c>
      <c r="E43" s="7">
        <f>VLOOKUP($A43,MedicaidElgBen!$A$29:$M$136,11)*VLOOKUP($A43,MedicaidElgBen!$A$29:$M$136,13)</f>
        <v>357.99499046158439</v>
      </c>
      <c r="F43" s="7">
        <f>VLOOKUP($A43,OtherElgBen!$A$29:$M$136,11)*VLOOKUP($A43,OtherElgBen!$A$29:$M$136,13)</f>
        <v>233.64724974684938</v>
      </c>
      <c r="G43" s="8"/>
      <c r="H43" s="7">
        <f t="shared" si="0"/>
        <v>852.08432418988457</v>
      </c>
      <c r="I43" s="7">
        <f t="shared" si="1"/>
        <v>483.69125597805032</v>
      </c>
      <c r="J43" s="7">
        <f t="shared" si="2"/>
        <v>351.81760259329985</v>
      </c>
      <c r="K43" s="65">
        <f>SUMPRODUCT(H43:J43,Tbl3.5!$B$13:$D$13)</f>
        <v>654.9976689437292</v>
      </c>
      <c r="L43" s="17"/>
      <c r="N43" s="24"/>
    </row>
    <row r="44" spans="1:14">
      <c r="A44" s="4">
        <v>39173</v>
      </c>
      <c r="B44" s="7">
        <f>VLOOKUP($A44,UIElg!$A$29:$K$136,11)*VLOOKUP($A44,UIBen!$A$29:$K$136,11)</f>
        <v>794.76175330833075</v>
      </c>
      <c r="C44" s="7">
        <f>VLOOKUP($A44,UIElg!$A$29:$M$136,13)*VLOOKUP($A44,UIBen!$A$29:$M$136,13)</f>
        <v>0</v>
      </c>
      <c r="D44" s="7">
        <f>VLOOKUP($A44,SNAPElg!$A$29:$K$136,11)*VLOOKUP($A44,SNAPBen!$A$29:$K$136,11)</f>
        <v>196.82387556442922</v>
      </c>
      <c r="E44" s="7">
        <f>VLOOKUP($A44,MedicaidElgBen!$A$29:$M$136,11)*VLOOKUP($A44,MedicaidElgBen!$A$29:$M$136,13)</f>
        <v>357.99499046158439</v>
      </c>
      <c r="F44" s="7">
        <f>VLOOKUP($A44,OtherElgBen!$A$29:$M$136,11)*VLOOKUP($A44,OtherElgBen!$A$29:$M$136,13)</f>
        <v>233.64724974684938</v>
      </c>
      <c r="G44" s="8"/>
      <c r="H44" s="7">
        <f t="shared" si="0"/>
        <v>851.86447159465649</v>
      </c>
      <c r="I44" s="7">
        <f t="shared" si="1"/>
        <v>483.50559280845539</v>
      </c>
      <c r="J44" s="7">
        <f t="shared" si="2"/>
        <v>351.59774999807166</v>
      </c>
      <c r="K44" s="65">
        <f>SUMPRODUCT(H44:J44,Tbl3.5!$B$13:$D$13)</f>
        <v>654.78086187422628</v>
      </c>
      <c r="L44" s="17"/>
      <c r="N44" s="24"/>
    </row>
    <row r="45" spans="1:14">
      <c r="A45" s="4">
        <v>39203</v>
      </c>
      <c r="B45" s="7">
        <f>VLOOKUP($A45,UIElg!$A$29:$K$136,11)*VLOOKUP($A45,UIBen!$A$29:$K$136,11)</f>
        <v>794.76175330833075</v>
      </c>
      <c r="C45" s="7">
        <f>VLOOKUP($A45,UIElg!$A$29:$M$136,13)*VLOOKUP($A45,UIBen!$A$29:$M$136,13)</f>
        <v>0</v>
      </c>
      <c r="D45" s="7">
        <f>VLOOKUP($A45,SNAPElg!$A$29:$K$136,11)*VLOOKUP($A45,SNAPBen!$A$29:$K$136,11)</f>
        <v>196.25325769774022</v>
      </c>
      <c r="E45" s="7">
        <f>VLOOKUP($A45,MedicaidElgBen!$A$29:$M$136,11)*VLOOKUP($A45,MedicaidElgBen!$A$29:$M$136,13)</f>
        <v>357.99499046158439</v>
      </c>
      <c r="F45" s="7">
        <f>VLOOKUP($A45,OtherElgBen!$A$29:$M$136,11)*VLOOKUP($A45,OtherElgBen!$A$29:$M$136,13)</f>
        <v>233.64724974684938</v>
      </c>
      <c r="G45" s="8"/>
      <c r="H45" s="7">
        <f t="shared" si="0"/>
        <v>851.58180117784298</v>
      </c>
      <c r="I45" s="7">
        <f t="shared" si="1"/>
        <v>483.26688065915448</v>
      </c>
      <c r="J45" s="7">
        <f t="shared" si="2"/>
        <v>351.31507958125837</v>
      </c>
      <c r="K45" s="65">
        <f>SUMPRODUCT(H45:J45,Tbl3.5!$B$13:$D$13)</f>
        <v>654.50210717205448</v>
      </c>
      <c r="L45" s="17"/>
      <c r="N45" s="24"/>
    </row>
    <row r="46" spans="1:14">
      <c r="A46" s="4">
        <v>39234</v>
      </c>
      <c r="B46" s="7">
        <f>VLOOKUP($A46,UIElg!$A$29:$K$136,11)*VLOOKUP($A46,UIBen!$A$29:$K$136,11)</f>
        <v>794.76175330833075</v>
      </c>
      <c r="C46" s="7">
        <f>VLOOKUP($A46,UIElg!$A$29:$M$136,13)*VLOOKUP($A46,UIBen!$A$29:$M$136,13)</f>
        <v>0</v>
      </c>
      <c r="D46" s="7">
        <f>VLOOKUP($A46,SNAPElg!$A$29:$K$136,11)*VLOOKUP($A46,SNAPBen!$A$29:$K$136,11)</f>
        <v>197.74134394119946</v>
      </c>
      <c r="E46" s="7">
        <f>VLOOKUP($A46,MedicaidElgBen!$A$29:$M$136,11)*VLOOKUP($A46,MedicaidElgBen!$A$29:$M$136,13)</f>
        <v>357.99499046158439</v>
      </c>
      <c r="F46" s="7">
        <f>VLOOKUP($A46,OtherElgBen!$A$29:$M$136,11)*VLOOKUP($A46,OtherElgBen!$A$29:$M$136,13)</f>
        <v>233.64724974684938</v>
      </c>
      <c r="G46" s="8"/>
      <c r="H46" s="7">
        <f t="shared" si="0"/>
        <v>852.3189634422032</v>
      </c>
      <c r="I46" s="7">
        <f t="shared" si="1"/>
        <v>483.88940632170068</v>
      </c>
      <c r="J46" s="7">
        <f t="shared" si="2"/>
        <v>352.05224184561848</v>
      </c>
      <c r="K46" s="65">
        <f>SUMPRODUCT(H46:J46,Tbl3.5!$B$13:$D$13)</f>
        <v>655.2290578369682</v>
      </c>
      <c r="L46" s="17"/>
      <c r="N46" s="24"/>
    </row>
    <row r="47" spans="1:14">
      <c r="A47" s="4">
        <v>39264</v>
      </c>
      <c r="B47" s="7">
        <f>VLOOKUP($A47,UIElg!$A$29:$K$136,11)*VLOOKUP($A47,UIBen!$A$29:$K$136,11)</f>
        <v>794.76175330833075</v>
      </c>
      <c r="C47" s="7">
        <f>VLOOKUP($A47,UIElg!$A$29:$M$136,13)*VLOOKUP($A47,UIBen!$A$29:$M$136,13)</f>
        <v>0</v>
      </c>
      <c r="D47" s="7">
        <f>VLOOKUP($A47,SNAPElg!$A$29:$K$136,11)*VLOOKUP($A47,SNAPBen!$A$29:$K$136,11)</f>
        <v>197.40412835906935</v>
      </c>
      <c r="E47" s="7">
        <f>VLOOKUP($A47,MedicaidElgBen!$A$29:$M$136,11)*VLOOKUP($A47,MedicaidElgBen!$A$29:$M$136,13)</f>
        <v>357.99499046158439</v>
      </c>
      <c r="F47" s="7">
        <f>VLOOKUP($A47,OtherElgBen!$A$29:$M$136,11)*VLOOKUP($A47,OtherElgBen!$A$29:$M$136,13)</f>
        <v>233.64724974684938</v>
      </c>
      <c r="G47" s="8"/>
      <c r="H47" s="7">
        <f t="shared" si="0"/>
        <v>852.15191492388442</v>
      </c>
      <c r="I47" s="7">
        <f t="shared" si="1"/>
        <v>483.74833563133632</v>
      </c>
      <c r="J47" s="7">
        <f t="shared" si="2"/>
        <v>351.88519332729959</v>
      </c>
      <c r="K47" s="65">
        <f>SUMPRODUCT(H47:J47,Tbl3.5!$B$13:$D$13)</f>
        <v>655.06432337166018</v>
      </c>
      <c r="L47" s="17"/>
      <c r="N47" s="24"/>
    </row>
    <row r="48" spans="1:14">
      <c r="A48" s="4">
        <v>39295</v>
      </c>
      <c r="B48" s="7">
        <f>VLOOKUP($A48,UIElg!$A$29:$K$136,11)*VLOOKUP($A48,UIBen!$A$29:$K$136,11)</f>
        <v>794.76175330833075</v>
      </c>
      <c r="C48" s="7">
        <f>VLOOKUP($A48,UIElg!$A$29:$M$136,13)*VLOOKUP($A48,UIBen!$A$29:$M$136,13)</f>
        <v>0</v>
      </c>
      <c r="D48" s="7">
        <f>VLOOKUP($A48,SNAPElg!$A$29:$K$136,11)*VLOOKUP($A48,SNAPBen!$A$29:$K$136,11)</f>
        <v>197.26209352180908</v>
      </c>
      <c r="E48" s="7">
        <f>VLOOKUP($A48,MedicaidElgBen!$A$29:$M$136,11)*VLOOKUP($A48,MedicaidElgBen!$A$29:$M$136,13)</f>
        <v>357.99499046158439</v>
      </c>
      <c r="F48" s="7">
        <f>VLOOKUP($A48,OtherElgBen!$A$29:$M$136,11)*VLOOKUP($A48,OtherElgBen!$A$29:$M$136,13)</f>
        <v>233.64724974684938</v>
      </c>
      <c r="G48" s="8"/>
      <c r="H48" s="7">
        <f t="shared" si="0"/>
        <v>852.08155426924293</v>
      </c>
      <c r="I48" s="7">
        <f t="shared" si="1"/>
        <v>483.68891680963918</v>
      </c>
      <c r="J48" s="7">
        <f t="shared" si="2"/>
        <v>351.8148326726581</v>
      </c>
      <c r="K48" s="65">
        <f>SUMPRODUCT(H48:J48,Tbl3.5!$B$13:$D$13)</f>
        <v>654.99493739363561</v>
      </c>
      <c r="L48" s="17"/>
      <c r="N48" s="24"/>
    </row>
    <row r="49" spans="1:14">
      <c r="A49" s="4">
        <v>39326</v>
      </c>
      <c r="B49" s="7">
        <f>VLOOKUP($A49,UIElg!$A$29:$K$136,11)*VLOOKUP($A49,UIBen!$A$29:$K$136,11)</f>
        <v>794.76175330833075</v>
      </c>
      <c r="C49" s="7">
        <f>VLOOKUP($A49,UIElg!$A$29:$M$136,13)*VLOOKUP($A49,UIBen!$A$29:$M$136,13)</f>
        <v>0</v>
      </c>
      <c r="D49" s="7">
        <f>VLOOKUP($A49,SNAPElg!$A$29:$K$136,11)*VLOOKUP($A49,SNAPBen!$A$29:$K$136,11)</f>
        <v>196.49751176397262</v>
      </c>
      <c r="E49" s="7">
        <f>VLOOKUP($A49,MedicaidElgBen!$A$29:$M$136,11)*VLOOKUP($A49,MedicaidElgBen!$A$29:$M$136,13)</f>
        <v>357.99499046158439</v>
      </c>
      <c r="F49" s="7">
        <f>VLOOKUP($A49,OtherElgBen!$A$29:$M$136,11)*VLOOKUP($A49,OtherElgBen!$A$29:$M$136,13)</f>
        <v>233.64724974684938</v>
      </c>
      <c r="G49" s="8"/>
      <c r="H49" s="7">
        <f t="shared" si="0"/>
        <v>851.70279878892541</v>
      </c>
      <c r="I49" s="7">
        <f t="shared" si="1"/>
        <v>483.36906184998213</v>
      </c>
      <c r="J49" s="7">
        <f t="shared" si="2"/>
        <v>351.43607719234069</v>
      </c>
      <c r="K49" s="65">
        <f>SUMPRODUCT(H49:J49,Tbl3.5!$B$13:$D$13)</f>
        <v>654.62142865401574</v>
      </c>
      <c r="L49" s="17"/>
      <c r="N49" s="24"/>
    </row>
    <row r="50" spans="1:14">
      <c r="A50" s="4">
        <v>39356</v>
      </c>
      <c r="B50" s="7">
        <f>VLOOKUP($A50,UIElg!$A$29:$K$136,11)*VLOOKUP($A50,UIBen!$A$29:$K$136,11)</f>
        <v>794.76175330833075</v>
      </c>
      <c r="C50" s="7">
        <f>VLOOKUP($A50,UIElg!$A$29:$M$136,13)*VLOOKUP($A50,UIBen!$A$29:$M$136,13)</f>
        <v>0</v>
      </c>
      <c r="D50" s="7">
        <f>VLOOKUP($A50,SNAPElg!$A$29:$K$136,11)*VLOOKUP($A50,SNAPBen!$A$29:$K$136,11)</f>
        <v>207.35460532085273</v>
      </c>
      <c r="E50" s="7">
        <f>VLOOKUP($A50,MedicaidElgBen!$A$29:$M$136,11)*VLOOKUP($A50,MedicaidElgBen!$A$29:$M$136,13)</f>
        <v>357.99499046158439</v>
      </c>
      <c r="F50" s="7">
        <f>VLOOKUP($A50,OtherElgBen!$A$29:$M$136,11)*VLOOKUP($A50,OtherElgBen!$A$29:$M$136,13)</f>
        <v>233.64724974684938</v>
      </c>
      <c r="G50" s="8"/>
      <c r="H50" s="7">
        <f t="shared" si="0"/>
        <v>857.08114275651349</v>
      </c>
      <c r="I50" s="7">
        <f t="shared" si="1"/>
        <v>487.91101591314896</v>
      </c>
      <c r="J50" s="7">
        <f t="shared" si="2"/>
        <v>356.81442115992871</v>
      </c>
      <c r="K50" s="65">
        <f>SUMPRODUCT(H50:J50,Tbl3.5!$B$13:$D$13)</f>
        <v>659.92526868001892</v>
      </c>
      <c r="L50" s="17"/>
      <c r="N50" s="24"/>
    </row>
    <row r="51" spans="1:14">
      <c r="A51" s="4">
        <v>39387</v>
      </c>
      <c r="B51" s="7">
        <f>VLOOKUP($A51,UIElg!$A$29:$K$136,11)*VLOOKUP($A51,UIBen!$A$29:$K$136,11)</f>
        <v>794.76175330833075</v>
      </c>
      <c r="C51" s="7">
        <f>VLOOKUP($A51,UIElg!$A$29:$M$136,13)*VLOOKUP($A51,UIBen!$A$29:$M$136,13)</f>
        <v>0</v>
      </c>
      <c r="D51" s="7">
        <f>VLOOKUP($A51,SNAPElg!$A$29:$K$136,11)*VLOOKUP($A51,SNAPBen!$A$29:$K$136,11)</f>
        <v>206.22780460167678</v>
      </c>
      <c r="E51" s="7">
        <f>VLOOKUP($A51,MedicaidElgBen!$A$29:$M$136,11)*VLOOKUP($A51,MedicaidElgBen!$A$29:$M$136,13)</f>
        <v>357.99499046158439</v>
      </c>
      <c r="F51" s="7">
        <f>VLOOKUP($A51,OtherElgBen!$A$29:$M$136,11)*VLOOKUP($A51,OtherElgBen!$A$29:$M$136,13)</f>
        <v>233.64724974684938</v>
      </c>
      <c r="G51" s="8"/>
      <c r="H51" s="7">
        <f t="shared" si="0"/>
        <v>856.52295268300043</v>
      </c>
      <c r="I51" s="7">
        <f t="shared" si="1"/>
        <v>487.43963035512388</v>
      </c>
      <c r="J51" s="7">
        <f t="shared" si="2"/>
        <v>356.2562310864156</v>
      </c>
      <c r="K51" s="65">
        <f>SUMPRODUCT(H51:J51,Tbl3.5!$B$13:$D$13)</f>
        <v>659.37481097931072</v>
      </c>
      <c r="L51" s="17"/>
      <c r="N51" s="24"/>
    </row>
    <row r="52" spans="1:14">
      <c r="A52" s="4">
        <v>39417</v>
      </c>
      <c r="B52" s="7">
        <f>VLOOKUP($A52,UIElg!$A$29:$K$136,11)*VLOOKUP($A52,UIBen!$A$29:$K$136,11)</f>
        <v>794.76175330833075</v>
      </c>
      <c r="C52" s="7">
        <f>VLOOKUP($A52,UIElg!$A$29:$M$136,13)*VLOOKUP($A52,UIBen!$A$29:$M$136,13)</f>
        <v>0</v>
      </c>
      <c r="D52" s="7">
        <f>VLOOKUP($A52,SNAPElg!$A$29:$K$136,11)*VLOOKUP($A52,SNAPBen!$A$29:$K$136,11)</f>
        <v>205.58939986566531</v>
      </c>
      <c r="E52" s="7">
        <f>VLOOKUP($A52,MedicaidElgBen!$A$29:$M$136,11)*VLOOKUP($A52,MedicaidElgBen!$A$29:$M$136,13)</f>
        <v>357.99499046158439</v>
      </c>
      <c r="F52" s="7">
        <f>VLOOKUP($A52,OtherElgBen!$A$29:$M$136,11)*VLOOKUP($A52,OtherElgBen!$A$29:$M$136,13)</f>
        <v>233.64724974684938</v>
      </c>
      <c r="G52" s="8"/>
      <c r="H52" s="7">
        <f t="shared" si="0"/>
        <v>856.20670227557605</v>
      </c>
      <c r="I52" s="7">
        <f t="shared" si="1"/>
        <v>487.17256026224118</v>
      </c>
      <c r="J52" s="7">
        <f t="shared" si="2"/>
        <v>355.93998067899133</v>
      </c>
      <c r="K52" s="65">
        <f>SUMPRODUCT(H52:J52,Tbl3.5!$B$13:$D$13)</f>
        <v>659.06294145604386</v>
      </c>
      <c r="L52" s="17"/>
      <c r="N52" s="24"/>
    </row>
    <row r="53" spans="1:14">
      <c r="A53" s="4">
        <v>39448</v>
      </c>
      <c r="B53" s="7">
        <f>VLOOKUP($A53,UIElg!$A$29:$K$136,11)*VLOOKUP($A53,UIBen!$A$29:$K$136,11)</f>
        <v>794.76175330833075</v>
      </c>
      <c r="C53" s="7">
        <f>VLOOKUP($A53,UIElg!$A$29:$M$136,13)*VLOOKUP($A53,UIBen!$A$29:$M$136,13)</f>
        <v>0</v>
      </c>
      <c r="D53" s="7">
        <f>VLOOKUP($A53,SNAPElg!$A$29:$K$136,11)*VLOOKUP($A53,SNAPBen!$A$29:$K$136,11)</f>
        <v>210.63555724474929</v>
      </c>
      <c r="E53" s="7">
        <f>VLOOKUP($A53,MedicaidElgBen!$A$29:$M$136,11)*VLOOKUP($A53,MedicaidElgBen!$A$29:$M$136,13)</f>
        <v>357.99499046158439</v>
      </c>
      <c r="F53" s="7">
        <f>VLOOKUP($A53,OtherElgBen!$A$29:$M$136,11)*VLOOKUP($A53,OtherElgBen!$A$29:$M$136,13)</f>
        <v>233.64724974684938</v>
      </c>
      <c r="G53" s="8"/>
      <c r="H53" s="7">
        <f t="shared" si="0"/>
        <v>858.70644771454738</v>
      </c>
      <c r="I53" s="7">
        <f t="shared" si="1"/>
        <v>489.28356859897838</v>
      </c>
      <c r="J53" s="7">
        <f t="shared" si="2"/>
        <v>358.43972611796266</v>
      </c>
      <c r="K53" s="65">
        <f>SUMPRODUCT(H53:J53,Tbl3.5!$B$13:$D$13)</f>
        <v>661.52805897064218</v>
      </c>
      <c r="L53" s="17"/>
      <c r="N53" s="24"/>
    </row>
    <row r="54" spans="1:14">
      <c r="A54" s="4">
        <v>39479</v>
      </c>
      <c r="B54" s="7">
        <f>VLOOKUP($A54,UIElg!$A$29:$K$136,11)*VLOOKUP($A54,UIBen!$A$29:$K$136,11)</f>
        <v>794.76175330833075</v>
      </c>
      <c r="C54" s="7">
        <f>VLOOKUP($A54,UIElg!$A$29:$M$136,13)*VLOOKUP($A54,UIBen!$A$29:$M$136,13)</f>
        <v>0</v>
      </c>
      <c r="D54" s="7">
        <f>VLOOKUP($A54,SNAPElg!$A$29:$K$136,11)*VLOOKUP($A54,SNAPBen!$A$29:$K$136,11)</f>
        <v>210.16468643584093</v>
      </c>
      <c r="E54" s="7">
        <f>VLOOKUP($A54,MedicaidElgBen!$A$29:$M$136,11)*VLOOKUP($A54,MedicaidElgBen!$A$29:$M$136,13)</f>
        <v>357.99499046158439</v>
      </c>
      <c r="F54" s="7">
        <f>VLOOKUP($A54,OtherElgBen!$A$29:$M$136,11)*VLOOKUP($A54,OtherElgBen!$A$29:$M$136,13)</f>
        <v>233.64724974684938</v>
      </c>
      <c r="G54" s="8"/>
      <c r="H54" s="7">
        <f t="shared" si="0"/>
        <v>858.47318959980987</v>
      </c>
      <c r="I54" s="7">
        <f t="shared" si="1"/>
        <v>489.08658461127084</v>
      </c>
      <c r="J54" s="7">
        <f t="shared" si="2"/>
        <v>358.20646800322527</v>
      </c>
      <c r="K54" s="65">
        <f>SUMPRODUCT(H54:J54,Tbl3.5!$B$13:$D$13)</f>
        <v>661.29803208266503</v>
      </c>
      <c r="L54" s="17"/>
      <c r="N54" s="24"/>
    </row>
    <row r="55" spans="1:14">
      <c r="A55" s="4">
        <v>39508</v>
      </c>
      <c r="B55" s="7">
        <f>VLOOKUP($A55,UIElg!$A$29:$K$136,11)*VLOOKUP($A55,UIBen!$A$29:$K$136,11)</f>
        <v>794.76175330833075</v>
      </c>
      <c r="C55" s="7">
        <f>VLOOKUP($A55,UIElg!$A$29:$M$136,13)*VLOOKUP($A55,UIBen!$A$29:$M$136,13)</f>
        <v>0</v>
      </c>
      <c r="D55" s="7">
        <f>VLOOKUP($A55,SNAPElg!$A$29:$K$136,11)*VLOOKUP($A55,SNAPBen!$A$29:$K$136,11)</f>
        <v>212.24272232428322</v>
      </c>
      <c r="E55" s="7">
        <f>VLOOKUP($A55,MedicaidElgBen!$A$29:$M$136,11)*VLOOKUP($A55,MedicaidElgBen!$A$29:$M$136,13)</f>
        <v>357.99499046158439</v>
      </c>
      <c r="F55" s="7">
        <f>VLOOKUP($A55,OtherElgBen!$A$29:$M$136,11)*VLOOKUP($A55,OtherElgBen!$A$29:$M$136,13)</f>
        <v>233.64724974684938</v>
      </c>
      <c r="G55" s="8"/>
      <c r="H55" s="7">
        <f t="shared" si="0"/>
        <v>859.50259878068175</v>
      </c>
      <c r="I55" s="7">
        <f t="shared" si="1"/>
        <v>489.95590967487738</v>
      </c>
      <c r="J55" s="7">
        <f t="shared" si="2"/>
        <v>359.23587718409692</v>
      </c>
      <c r="K55" s="65">
        <f>SUMPRODUCT(H55:J55,Tbl3.5!$B$13:$D$13)</f>
        <v>662.3131812902177</v>
      </c>
      <c r="L55" s="17"/>
      <c r="N55" s="24"/>
    </row>
    <row r="56" spans="1:14">
      <c r="A56" s="4">
        <v>39539</v>
      </c>
      <c r="B56" s="7">
        <f>VLOOKUP($A56,UIElg!$A$29:$K$136,11)*VLOOKUP($A56,UIBen!$A$29:$K$136,11)</f>
        <v>794.76175330833075</v>
      </c>
      <c r="C56" s="7">
        <f>VLOOKUP($A56,UIElg!$A$29:$M$136,13)*VLOOKUP($A56,UIBen!$A$29:$M$136,13)</f>
        <v>0</v>
      </c>
      <c r="D56" s="7">
        <f>VLOOKUP($A56,SNAPElg!$A$29:$K$136,11)*VLOOKUP($A56,SNAPBen!$A$29:$K$136,11)</f>
        <v>211.56802948456411</v>
      </c>
      <c r="E56" s="7">
        <f>VLOOKUP($A56,MedicaidElgBen!$A$29:$M$136,11)*VLOOKUP($A56,MedicaidElgBen!$A$29:$M$136,13)</f>
        <v>357.99499046158439</v>
      </c>
      <c r="F56" s="7">
        <f>VLOOKUP($A56,OtherElgBen!$A$29:$M$136,11)*VLOOKUP($A56,OtherElgBen!$A$29:$M$136,13)</f>
        <v>233.64724974684938</v>
      </c>
      <c r="G56" s="8"/>
      <c r="H56" s="7">
        <f t="shared" si="0"/>
        <v>859.16837211629229</v>
      </c>
      <c r="I56" s="7">
        <f t="shared" si="1"/>
        <v>489.67365882489651</v>
      </c>
      <c r="J56" s="7">
        <f t="shared" si="2"/>
        <v>358.90165051970769</v>
      </c>
      <c r="K56" s="65">
        <f>SUMPRODUCT(H56:J56,Tbl3.5!$B$13:$D$13)</f>
        <v>661.98358452752859</v>
      </c>
      <c r="L56" s="17"/>
      <c r="N56" s="24"/>
    </row>
    <row r="57" spans="1:14">
      <c r="A57" s="4">
        <v>39569</v>
      </c>
      <c r="B57" s="7">
        <f>VLOOKUP($A57,UIElg!$A$29:$K$136,11)*VLOOKUP($A57,UIBen!$A$29:$K$136,11)</f>
        <v>794.76175330833075</v>
      </c>
      <c r="C57" s="7">
        <f>VLOOKUP($A57,UIElg!$A$29:$M$136,13)*VLOOKUP($A57,UIBen!$A$29:$M$136,13)</f>
        <v>0</v>
      </c>
      <c r="D57" s="7">
        <f>VLOOKUP($A57,SNAPElg!$A$29:$K$136,11)*VLOOKUP($A57,SNAPBen!$A$29:$K$136,11)</f>
        <v>210.69828194876217</v>
      </c>
      <c r="E57" s="7">
        <f>VLOOKUP($A57,MedicaidElgBen!$A$29:$M$136,11)*VLOOKUP($A57,MedicaidElgBen!$A$29:$M$136,13)</f>
        <v>357.99499046158439</v>
      </c>
      <c r="F57" s="7">
        <f>VLOOKUP($A57,OtherElgBen!$A$29:$M$136,11)*VLOOKUP($A57,OtherElgBen!$A$29:$M$136,13)</f>
        <v>233.64724974684938</v>
      </c>
      <c r="G57" s="8"/>
      <c r="H57" s="7">
        <f t="shared" si="0"/>
        <v>858.73752002977415</v>
      </c>
      <c r="I57" s="7">
        <f t="shared" si="1"/>
        <v>489.30980883746946</v>
      </c>
      <c r="J57" s="7">
        <f t="shared" si="2"/>
        <v>358.47079843318949</v>
      </c>
      <c r="K57" s="65">
        <f>SUMPRODUCT(H57:J57,Tbl3.5!$B$13:$D$13)</f>
        <v>661.55870085412778</v>
      </c>
      <c r="L57" s="17"/>
      <c r="N57" s="24"/>
    </row>
    <row r="58" spans="1:14">
      <c r="A58" s="4">
        <v>39600</v>
      </c>
      <c r="B58" s="7">
        <f>VLOOKUP($A58,UIElg!$A$29:$K$136,11)*VLOOKUP($A58,UIBen!$A$29:$K$136,11)</f>
        <v>794.76175330833075</v>
      </c>
      <c r="C58" s="7">
        <f>VLOOKUP($A58,UIElg!$A$29:$M$136,13)*VLOOKUP($A58,UIBen!$A$29:$M$136,13)</f>
        <v>0</v>
      </c>
      <c r="D58" s="7">
        <f>VLOOKUP($A58,SNAPElg!$A$29:$K$136,11)*VLOOKUP($A58,SNAPBen!$A$29:$K$136,11)</f>
        <v>209.40507680738946</v>
      </c>
      <c r="E58" s="7">
        <f>VLOOKUP($A58,MedicaidElgBen!$A$29:$M$136,11)*VLOOKUP($A58,MedicaidElgBen!$A$29:$M$136,13)</f>
        <v>357.99499046158439</v>
      </c>
      <c r="F58" s="7">
        <f>VLOOKUP($A58,OtherElgBen!$A$29:$M$136,11)*VLOOKUP($A58,OtherElgBen!$A$29:$M$136,13)</f>
        <v>233.64724974684938</v>
      </c>
      <c r="G58" s="8"/>
      <c r="H58" s="7">
        <f t="shared" si="0"/>
        <v>858.09689719323717</v>
      </c>
      <c r="I58" s="7">
        <f t="shared" si="1"/>
        <v>488.76880969109629</v>
      </c>
      <c r="J58" s="7">
        <f t="shared" si="2"/>
        <v>357.83017559665251</v>
      </c>
      <c r="K58" s="65">
        <f>SUMPRODUCT(H58:J58,Tbl3.5!$B$13:$D$13)</f>
        <v>660.92695229686308</v>
      </c>
      <c r="L58" s="17"/>
      <c r="N58" s="24"/>
    </row>
    <row r="59" spans="1:14">
      <c r="A59" s="4">
        <v>39630</v>
      </c>
      <c r="B59" s="7">
        <f>VLOOKUP($A59,UIElg!$A$29:$K$136,11)*VLOOKUP($A59,UIBen!$A$29:$K$136,11)</f>
        <v>1006.7090807482745</v>
      </c>
      <c r="C59" s="7">
        <f>VLOOKUP($A59,UIElg!$A$29:$M$136,13)*VLOOKUP($A59,UIBen!$A$29:$M$136,13)</f>
        <v>0</v>
      </c>
      <c r="D59" s="7">
        <f>VLOOKUP($A59,SNAPElg!$A$29:$K$136,11)*VLOOKUP($A59,SNAPBen!$A$29:$K$136,11)</f>
        <v>208.29379663383006</v>
      </c>
      <c r="E59" s="7">
        <f>VLOOKUP($A59,MedicaidElgBen!$A$29:$M$136,11)*VLOOKUP($A59,MedicaidElgBen!$A$29:$M$136,13)</f>
        <v>357.99499046158439</v>
      </c>
      <c r="F59" s="7">
        <f>VLOOKUP($A59,OtherElgBen!$A$29:$M$136,11)*VLOOKUP($A59,OtherElgBen!$A$29:$M$136,13)</f>
        <v>233.64724974684938</v>
      </c>
      <c r="G59" s="8"/>
      <c r="H59" s="7">
        <f t="shared" si="0"/>
        <v>990.9576905307166</v>
      </c>
      <c r="I59" s="7">
        <f t="shared" si="1"/>
        <v>488.30391699461427</v>
      </c>
      <c r="J59" s="7">
        <f t="shared" si="2"/>
        <v>357.27967402950185</v>
      </c>
      <c r="K59" s="65">
        <f>SUMPRODUCT(H59:J59,Tbl3.5!$B$13:$D$13)</f>
        <v>738.10353211263168</v>
      </c>
      <c r="L59" s="17"/>
      <c r="N59" s="24"/>
    </row>
    <row r="60" spans="1:14">
      <c r="A60" s="4">
        <v>39661</v>
      </c>
      <c r="B60" s="7">
        <f>VLOOKUP($A60,UIElg!$A$29:$K$136,11)*VLOOKUP($A60,UIBen!$A$29:$K$136,11)</f>
        <v>1006.7090807482745</v>
      </c>
      <c r="C60" s="7">
        <f>VLOOKUP($A60,UIElg!$A$29:$M$136,13)*VLOOKUP($A60,UIBen!$A$29:$M$136,13)</f>
        <v>0</v>
      </c>
      <c r="D60" s="7">
        <f>VLOOKUP($A60,SNAPElg!$A$29:$K$136,11)*VLOOKUP($A60,SNAPBen!$A$29:$K$136,11)</f>
        <v>208.46777981288193</v>
      </c>
      <c r="E60" s="7">
        <f>VLOOKUP($A60,MedicaidElgBen!$A$29:$M$136,11)*VLOOKUP($A60,MedicaidElgBen!$A$29:$M$136,13)</f>
        <v>357.99499046158439</v>
      </c>
      <c r="F60" s="7">
        <f>VLOOKUP($A60,OtherElgBen!$A$29:$M$136,11)*VLOOKUP($A60,OtherElgBen!$A$29:$M$136,13)</f>
        <v>233.64724974684938</v>
      </c>
      <c r="G60" s="8"/>
      <c r="H60" s="7">
        <f t="shared" si="0"/>
        <v>991.04387762826821</v>
      </c>
      <c r="I60" s="7">
        <f t="shared" si="1"/>
        <v>488.37670107839119</v>
      </c>
      <c r="J60" s="7">
        <f t="shared" si="2"/>
        <v>357.36586112705368</v>
      </c>
      <c r="K60" s="65">
        <f>SUMPRODUCT(H60:J60,Tbl3.5!$B$13:$D$13)</f>
        <v>738.18852529649541</v>
      </c>
      <c r="L60" s="17"/>
      <c r="N60" s="24"/>
    </row>
    <row r="61" spans="1:14">
      <c r="A61" s="4">
        <v>39692</v>
      </c>
      <c r="B61" s="7">
        <f>VLOOKUP($A61,UIElg!$A$29:$K$136,11)*VLOOKUP($A61,UIBen!$A$29:$K$136,11)</f>
        <v>1006.7090807482745</v>
      </c>
      <c r="C61" s="7">
        <f>VLOOKUP($A61,UIElg!$A$29:$M$136,13)*VLOOKUP($A61,UIBen!$A$29:$M$136,13)</f>
        <v>0</v>
      </c>
      <c r="D61" s="7">
        <f>VLOOKUP($A61,SNAPElg!$A$29:$K$136,11)*VLOOKUP($A61,SNAPBen!$A$29:$K$136,11)</f>
        <v>208.21824232083657</v>
      </c>
      <c r="E61" s="7">
        <f>VLOOKUP($A61,MedicaidElgBen!$A$29:$M$136,11)*VLOOKUP($A61,MedicaidElgBen!$A$29:$M$136,13)</f>
        <v>357.99499046158439</v>
      </c>
      <c r="F61" s="7">
        <f>VLOOKUP($A61,OtherElgBen!$A$29:$M$136,11)*VLOOKUP($A61,OtherElgBen!$A$29:$M$136,13)</f>
        <v>233.64724974684938</v>
      </c>
      <c r="G61" s="8"/>
      <c r="H61" s="7">
        <f t="shared" si="0"/>
        <v>990.92026273465069</v>
      </c>
      <c r="I61" s="7">
        <f t="shared" si="1"/>
        <v>488.2723096204038</v>
      </c>
      <c r="J61" s="7">
        <f t="shared" si="2"/>
        <v>357.24224623343611</v>
      </c>
      <c r="K61" s="65">
        <f>SUMPRODUCT(H61:J61,Tbl3.5!$B$13:$D$13)</f>
        <v>738.06662278811552</v>
      </c>
      <c r="L61" s="17"/>
      <c r="N61" s="24"/>
    </row>
    <row r="62" spans="1:14">
      <c r="A62" s="4">
        <v>39722</v>
      </c>
      <c r="B62" s="7">
        <f>VLOOKUP($A62,UIElg!$A$29:$K$136,11)*VLOOKUP($A62,UIBen!$A$29:$K$136,11)</f>
        <v>1006.7090807482745</v>
      </c>
      <c r="C62" s="7">
        <f>VLOOKUP($A62,UIElg!$A$29:$M$136,13)*VLOOKUP($A62,UIBen!$A$29:$M$136,13)</f>
        <v>0</v>
      </c>
      <c r="D62" s="7">
        <f>VLOOKUP($A62,SNAPElg!$A$29:$K$136,11)*VLOOKUP($A62,SNAPBen!$A$29:$K$136,11)</f>
        <v>243.3615758210253</v>
      </c>
      <c r="E62" s="7">
        <f>VLOOKUP($A62,MedicaidElgBen!$A$29:$M$136,11)*VLOOKUP($A62,MedicaidElgBen!$A$29:$M$136,13)</f>
        <v>357.99499046158439</v>
      </c>
      <c r="F62" s="7">
        <f>VLOOKUP($A62,OtherElgBen!$A$29:$M$136,11)*VLOOKUP($A62,OtherElgBen!$A$29:$M$136,13)</f>
        <v>233.64724974684938</v>
      </c>
      <c r="G62" s="8"/>
      <c r="H62" s="7">
        <f t="shared" si="0"/>
        <v>1008.3294279722385</v>
      </c>
      <c r="I62" s="7">
        <f t="shared" si="1"/>
        <v>502.97416380892741</v>
      </c>
      <c r="J62" s="7">
        <f t="shared" si="2"/>
        <v>374.65141147102389</v>
      </c>
      <c r="K62" s="65">
        <f>SUMPRODUCT(H62:J62,Tbl3.5!$B$13:$D$13)</f>
        <v>755.23462616664062</v>
      </c>
      <c r="L62" s="17"/>
      <c r="N62" s="24"/>
    </row>
    <row r="63" spans="1:14">
      <c r="A63" s="4">
        <v>39753</v>
      </c>
      <c r="B63" s="7">
        <f>VLOOKUP($A63,UIElg!$A$29:$K$136,11)*VLOOKUP($A63,UIBen!$A$29:$K$136,11)</f>
        <v>1006.7090807482745</v>
      </c>
      <c r="C63" s="7">
        <f>VLOOKUP($A63,UIElg!$A$29:$M$136,13)*VLOOKUP($A63,UIBen!$A$29:$M$136,13)</f>
        <v>0</v>
      </c>
      <c r="D63" s="7">
        <f>VLOOKUP($A63,SNAPElg!$A$29:$K$136,11)*VLOOKUP($A63,SNAPBen!$A$29:$K$136,11)</f>
        <v>246.31393037801269</v>
      </c>
      <c r="E63" s="7">
        <f>VLOOKUP($A63,MedicaidElgBen!$A$29:$M$136,11)*VLOOKUP($A63,MedicaidElgBen!$A$29:$M$136,13)</f>
        <v>357.99499046158439</v>
      </c>
      <c r="F63" s="7">
        <f>VLOOKUP($A63,OtherElgBen!$A$29:$M$136,11)*VLOOKUP($A63,OtherElgBen!$A$29:$M$136,13)</f>
        <v>233.64724974684938</v>
      </c>
      <c r="G63" s="8"/>
      <c r="H63" s="7">
        <f t="shared" si="0"/>
        <v>1009.7919536692463</v>
      </c>
      <c r="I63" s="7">
        <f t="shared" si="1"/>
        <v>504.20925114659894</v>
      </c>
      <c r="J63" s="7">
        <f t="shared" si="2"/>
        <v>376.11393716803161</v>
      </c>
      <c r="K63" s="65">
        <f>SUMPRODUCT(H63:J63,Tbl3.5!$B$13:$D$13)</f>
        <v>756.67689210901892</v>
      </c>
      <c r="L63" s="17"/>
      <c r="N63" s="24"/>
    </row>
    <row r="64" spans="1:14">
      <c r="A64" s="4">
        <v>39783</v>
      </c>
      <c r="B64" s="7">
        <f>VLOOKUP($A64,UIElg!$A$29:$K$136,11)*VLOOKUP($A64,UIBen!$A$29:$K$136,11)</f>
        <v>1093.1613199983422</v>
      </c>
      <c r="C64" s="7">
        <f>VLOOKUP($A64,UIElg!$A$29:$M$136,13)*VLOOKUP($A64,UIBen!$A$29:$M$136,13)</f>
        <v>0</v>
      </c>
      <c r="D64" s="7">
        <f>VLOOKUP($A64,SNAPElg!$A$29:$K$136,11)*VLOOKUP($A64,SNAPBen!$A$29:$K$136,11)</f>
        <v>247.56551858952668</v>
      </c>
      <c r="E64" s="7">
        <f>VLOOKUP($A64,MedicaidElgBen!$A$29:$M$136,11)*VLOOKUP($A64,MedicaidElgBen!$A$29:$M$136,13)</f>
        <v>357.99499046158439</v>
      </c>
      <c r="F64" s="7">
        <f>VLOOKUP($A64,OtherElgBen!$A$29:$M$136,11)*VLOOKUP($A64,OtherElgBen!$A$29:$M$136,13)</f>
        <v>233.64724974684938</v>
      </c>
      <c r="G64" s="8"/>
      <c r="H64" s="7">
        <f t="shared" si="0"/>
        <v>1064.8297506179106</v>
      </c>
      <c r="I64" s="7">
        <f t="shared" si="1"/>
        <v>504.73284027594696</v>
      </c>
      <c r="J64" s="7">
        <f t="shared" si="2"/>
        <v>376.73394397482889</v>
      </c>
      <c r="K64" s="65">
        <f>SUMPRODUCT(H64:J64,Tbl3.5!$B$13:$D$13)</f>
        <v>788.98968170772946</v>
      </c>
      <c r="L64" s="17"/>
      <c r="N64" s="24"/>
    </row>
    <row r="65" spans="1:14">
      <c r="A65" s="4">
        <v>39814</v>
      </c>
      <c r="B65" s="7">
        <f>VLOOKUP($A65,UIElg!$A$29:$K$136,11)*VLOOKUP($A65,UIBen!$A$29:$K$136,11)</f>
        <v>1093.1613199983422</v>
      </c>
      <c r="C65" s="7">
        <f>VLOOKUP($A65,UIElg!$A$29:$M$136,13)*VLOOKUP($A65,UIBen!$A$29:$M$136,13)</f>
        <v>0</v>
      </c>
      <c r="D65" s="7">
        <f>VLOOKUP($A65,SNAPElg!$A$29:$K$136,11)*VLOOKUP($A65,SNAPBen!$A$29:$K$136,11)</f>
        <v>247.39037229418733</v>
      </c>
      <c r="E65" s="7">
        <f>VLOOKUP($A65,MedicaidElgBen!$A$29:$M$136,11)*VLOOKUP($A65,MedicaidElgBen!$A$29:$M$136,13)</f>
        <v>357.99499046158439</v>
      </c>
      <c r="F65" s="7">
        <f>VLOOKUP($A65,OtherElgBen!$A$29:$M$136,11)*VLOOKUP($A65,OtherElgBen!$A$29:$M$136,13)</f>
        <v>233.64724974684938</v>
      </c>
      <c r="G65" s="8"/>
      <c r="H65" s="7">
        <f t="shared" si="0"/>
        <v>1064.742987340423</v>
      </c>
      <c r="I65" s="7">
        <f t="shared" si="1"/>
        <v>504.65956961436552</v>
      </c>
      <c r="J65" s="7">
        <f t="shared" si="2"/>
        <v>376.64718069734135</v>
      </c>
      <c r="K65" s="65">
        <f>SUMPRODUCT(H65:J65,Tbl3.5!$B$13:$D$13)</f>
        <v>788.90412032550864</v>
      </c>
      <c r="L65" s="17"/>
      <c r="N65" s="24"/>
    </row>
    <row r="66" spans="1:14">
      <c r="A66" s="4">
        <v>39845</v>
      </c>
      <c r="B66" s="7">
        <f>VLOOKUP($A66,UIElg!$A$29:$K$136,11)*VLOOKUP($A66,UIBen!$A$29:$K$136,11)</f>
        <v>1093.1613199983422</v>
      </c>
      <c r="C66" s="7">
        <f>VLOOKUP($A66,UIElg!$A$29:$M$136,13)*VLOOKUP($A66,UIBen!$A$29:$M$136,13)</f>
        <v>0</v>
      </c>
      <c r="D66" s="7">
        <f>VLOOKUP($A66,SNAPElg!$A$29:$K$136,11)*VLOOKUP($A66,SNAPBen!$A$29:$K$136,11)</f>
        <v>246.6619005564726</v>
      </c>
      <c r="E66" s="7">
        <f>VLOOKUP($A66,MedicaidElgBen!$A$29:$M$136,11)*VLOOKUP($A66,MedicaidElgBen!$A$29:$M$136,13)</f>
        <v>357.99499046158439</v>
      </c>
      <c r="F66" s="7">
        <f>VLOOKUP($A66,OtherElgBen!$A$29:$M$136,11)*VLOOKUP($A66,OtherElgBen!$A$29:$M$136,13)</f>
        <v>233.64724974684938</v>
      </c>
      <c r="G66" s="8"/>
      <c r="H66" s="7">
        <f t="shared" si="0"/>
        <v>1064.3821198987298</v>
      </c>
      <c r="I66" s="7">
        <f t="shared" si="1"/>
        <v>504.35482091235963</v>
      </c>
      <c r="J66" s="7">
        <f t="shared" si="2"/>
        <v>376.286313255648</v>
      </c>
      <c r="K66" s="65">
        <f>SUMPRODUCT(H66:J66,Tbl3.5!$B$13:$D$13)</f>
        <v>788.54825182902186</v>
      </c>
      <c r="L66" s="17"/>
      <c r="N66" s="24"/>
    </row>
    <row r="67" spans="1:14">
      <c r="A67" s="4">
        <v>39873</v>
      </c>
      <c r="B67" s="7">
        <f>VLOOKUP($A67,UIElg!$A$29:$K$136,11)*VLOOKUP($A67,UIBen!$A$29:$K$136,11)</f>
        <v>1093.1613199983422</v>
      </c>
      <c r="C67" s="7">
        <f>VLOOKUP($A67,UIElg!$A$29:$M$136,13)*VLOOKUP($A67,UIBen!$A$29:$M$136,13)</f>
        <v>0</v>
      </c>
      <c r="D67" s="7">
        <f>VLOOKUP($A67,SNAPElg!$A$29:$K$136,11)*VLOOKUP($A67,SNAPBen!$A$29:$K$136,11)</f>
        <v>247.21284375539025</v>
      </c>
      <c r="E67" s="7">
        <f>VLOOKUP($A67,MedicaidElgBen!$A$29:$M$136,11)*VLOOKUP($A67,MedicaidElgBen!$A$29:$M$136,13)</f>
        <v>357.99499046158439</v>
      </c>
      <c r="F67" s="7">
        <f>VLOOKUP($A67,OtherElgBen!$A$29:$M$136,11)*VLOOKUP($A67,OtherElgBen!$A$29:$M$136,13)</f>
        <v>233.64724974684938</v>
      </c>
      <c r="G67" s="8"/>
      <c r="H67" s="7">
        <f t="shared" si="0"/>
        <v>1064.6550439566149</v>
      </c>
      <c r="I67" s="7">
        <f t="shared" si="1"/>
        <v>504.58530236559466</v>
      </c>
      <c r="J67" s="7">
        <f t="shared" si="2"/>
        <v>376.55923731353317</v>
      </c>
      <c r="K67" s="65">
        <f>SUMPRODUCT(H67:J67,Tbl3.5!$B$13:$D$13)</f>
        <v>788.81739518448489</v>
      </c>
      <c r="L67" s="17"/>
      <c r="N67" s="24"/>
    </row>
    <row r="68" spans="1:14">
      <c r="A68" s="4">
        <v>39904</v>
      </c>
      <c r="B68" s="7">
        <f>VLOOKUP($A68,UIElg!$A$29:$K$136,11)*VLOOKUP($A68,UIBen!$A$29:$K$136,11)</f>
        <v>1447.1513683102201</v>
      </c>
      <c r="C68" s="7">
        <f>VLOOKUP($A68,UIElg!$A$29:$M$136,13)*VLOOKUP($A68,UIBen!$A$29:$M$136,13)</f>
        <v>0</v>
      </c>
      <c r="D68" s="7">
        <f>VLOOKUP($A68,SNAPElg!$A$29:$K$136,11)*VLOOKUP($A68,SNAPBen!$A$29:$K$136,11)</f>
        <v>289.19619121478638</v>
      </c>
      <c r="E68" s="7">
        <f>VLOOKUP($A68,MedicaidElgBen!$A$29:$M$136,11)*VLOOKUP($A68,MedicaidElgBen!$A$29:$M$136,13)</f>
        <v>357.99499046158439</v>
      </c>
      <c r="F68" s="7">
        <f>VLOOKUP($A68,OtherElgBen!$A$29:$M$136,11)*VLOOKUP($A68,OtherElgBen!$A$29:$M$136,13)</f>
        <v>233.64724974684938</v>
      </c>
      <c r="G68" s="8"/>
      <c r="H68" s="7">
        <f t="shared" si="0"/>
        <v>1308.2733772043866</v>
      </c>
      <c r="I68" s="7">
        <f t="shared" si="1"/>
        <v>522.14860644688918</v>
      </c>
      <c r="J68" s="7">
        <f t="shared" si="2"/>
        <v>397.35678155172451</v>
      </c>
      <c r="K68" s="65">
        <f>SUMPRODUCT(H68:J68,Tbl3.5!$B$13:$D$13)</f>
        <v>939.13226900292989</v>
      </c>
      <c r="L68" s="17"/>
      <c r="N68" s="24"/>
    </row>
    <row r="69" spans="1:14">
      <c r="A69" s="4">
        <v>39934</v>
      </c>
      <c r="B69" s="7">
        <f>VLOOKUP($A69,UIElg!$A$29:$K$136,11)*VLOOKUP($A69,UIBen!$A$29:$K$136,11)</f>
        <v>1447.1513683102201</v>
      </c>
      <c r="C69" s="7">
        <f>VLOOKUP($A69,UIElg!$A$29:$M$136,13)*VLOOKUP($A69,UIBen!$A$29:$M$136,13)</f>
        <v>0</v>
      </c>
      <c r="D69" s="7">
        <f>VLOOKUP($A69,SNAPElg!$A$29:$K$136,11)*VLOOKUP($A69,SNAPBen!$A$29:$K$136,11)</f>
        <v>289.33795697072668</v>
      </c>
      <c r="E69" s="7">
        <f>VLOOKUP($A69,MedicaidElgBen!$A$29:$M$136,11)*VLOOKUP($A69,MedicaidElgBen!$A$29:$M$136,13)</f>
        <v>357.99499046158439</v>
      </c>
      <c r="F69" s="7">
        <f>VLOOKUP($A69,OtherElgBen!$A$29:$M$136,11)*VLOOKUP($A69,OtherElgBen!$A$29:$M$136,13)</f>
        <v>233.64724974684938</v>
      </c>
      <c r="G69" s="8"/>
      <c r="H69" s="7">
        <f t="shared" si="0"/>
        <v>1308.3436045625906</v>
      </c>
      <c r="I69" s="7">
        <f t="shared" si="1"/>
        <v>522.20791270116786</v>
      </c>
      <c r="J69" s="7">
        <f t="shared" si="2"/>
        <v>397.42700890992842</v>
      </c>
      <c r="K69" s="65">
        <f>SUMPRODUCT(H69:J69,Tbl3.5!$B$13:$D$13)</f>
        <v>939.20152353101639</v>
      </c>
      <c r="L69" s="17"/>
      <c r="N69" s="24"/>
    </row>
    <row r="70" spans="1:14">
      <c r="A70" s="4">
        <v>39965</v>
      </c>
      <c r="B70" s="7">
        <f>VLOOKUP($A70,UIElg!$A$29:$K$136,11)*VLOOKUP($A70,UIBen!$A$29:$K$136,11)</f>
        <v>1447.1513683102201</v>
      </c>
      <c r="C70" s="7">
        <f>VLOOKUP($A70,UIElg!$A$29:$M$136,13)*VLOOKUP($A70,UIBen!$A$29:$M$136,13)</f>
        <v>0</v>
      </c>
      <c r="D70" s="7">
        <f>VLOOKUP($A70,SNAPElg!$A$29:$K$136,11)*VLOOKUP($A70,SNAPBen!$A$29:$K$136,11)</f>
        <v>289.84739374856133</v>
      </c>
      <c r="E70" s="7">
        <f>VLOOKUP($A70,MedicaidElgBen!$A$29:$M$136,11)*VLOOKUP($A70,MedicaidElgBen!$A$29:$M$136,13)</f>
        <v>357.99499046158439</v>
      </c>
      <c r="F70" s="7">
        <f>VLOOKUP($A70,OtherElgBen!$A$29:$M$136,11)*VLOOKUP($A70,OtherElgBen!$A$29:$M$136,13)</f>
        <v>233.64724974684938</v>
      </c>
      <c r="G70" s="8"/>
      <c r="H70" s="7">
        <f t="shared" si="0"/>
        <v>1308.5959673341354</v>
      </c>
      <c r="I70" s="7">
        <f t="shared" si="1"/>
        <v>522.42103036759397</v>
      </c>
      <c r="J70" s="7">
        <f t="shared" si="2"/>
        <v>397.67937168147307</v>
      </c>
      <c r="K70" s="65">
        <f>SUMPRODUCT(H70:J70,Tbl3.5!$B$13:$D$13)</f>
        <v>939.45039042700876</v>
      </c>
      <c r="L70" s="17"/>
      <c r="N70" s="24"/>
    </row>
    <row r="71" spans="1:14">
      <c r="A71" s="4">
        <v>39995</v>
      </c>
      <c r="B71" s="7">
        <f>VLOOKUP($A71,UIElg!$A$29:$K$136,11)*VLOOKUP($A71,UIBen!$A$29:$K$136,11)</f>
        <v>1447.1513683102201</v>
      </c>
      <c r="C71" s="7">
        <f>VLOOKUP($A71,UIElg!$A$29:$M$136,13)*VLOOKUP($A71,UIBen!$A$29:$M$136,13)</f>
        <v>0</v>
      </c>
      <c r="D71" s="7">
        <f>VLOOKUP($A71,SNAPElg!$A$29:$K$136,11)*VLOOKUP($A71,SNAPBen!$A$29:$K$136,11)</f>
        <v>305.21145487568248</v>
      </c>
      <c r="E71" s="7">
        <f>VLOOKUP($A71,MedicaidElgBen!$A$29:$M$136,11)*VLOOKUP($A71,MedicaidElgBen!$A$29:$M$136,13)</f>
        <v>357.99499046158439</v>
      </c>
      <c r="F71" s="7">
        <f>VLOOKUP($A71,OtherElgBen!$A$29:$M$136,11)*VLOOKUP($A71,OtherElgBen!$A$29:$M$136,13)</f>
        <v>233.64724974684938</v>
      </c>
      <c r="G71" s="8"/>
      <c r="H71" s="7">
        <f t="shared" si="0"/>
        <v>1316.2069550305932</v>
      </c>
      <c r="I71" s="7">
        <f t="shared" si="1"/>
        <v>528.8484282248088</v>
      </c>
      <c r="J71" s="7">
        <f t="shared" si="2"/>
        <v>405.29035937793094</v>
      </c>
      <c r="K71" s="65">
        <f>SUMPRODUCT(H71:J71,Tbl3.5!$B$13:$D$13)</f>
        <v>946.95594630539074</v>
      </c>
      <c r="L71" s="17"/>
      <c r="N71" s="24"/>
    </row>
    <row r="72" spans="1:14">
      <c r="A72" s="4">
        <v>40026</v>
      </c>
      <c r="B72" s="7">
        <f>VLOOKUP($A72,UIElg!$A$29:$K$136,11)*VLOOKUP($A72,UIBen!$A$29:$K$136,11)</f>
        <v>1447.1513683102201</v>
      </c>
      <c r="C72" s="7">
        <f>VLOOKUP($A72,UIElg!$A$29:$M$136,13)*VLOOKUP($A72,UIBen!$A$29:$M$136,13)</f>
        <v>0</v>
      </c>
      <c r="D72" s="7">
        <f>VLOOKUP($A72,SNAPElg!$A$29:$K$136,11)*VLOOKUP($A72,SNAPBen!$A$29:$K$136,11)</f>
        <v>309.13398191610088</v>
      </c>
      <c r="E72" s="7">
        <f>VLOOKUP($A72,MedicaidElgBen!$A$29:$M$136,11)*VLOOKUP($A72,MedicaidElgBen!$A$29:$M$136,13)</f>
        <v>357.99499046158439</v>
      </c>
      <c r="F72" s="7">
        <f>VLOOKUP($A72,OtherElgBen!$A$29:$M$136,11)*VLOOKUP($A72,OtherElgBen!$A$29:$M$136,13)</f>
        <v>233.64724974684938</v>
      </c>
      <c r="G72" s="8"/>
      <c r="H72" s="7">
        <f t="shared" si="0"/>
        <v>1318.1500809265808</v>
      </c>
      <c r="I72" s="7">
        <f t="shared" si="1"/>
        <v>530.48937729978661</v>
      </c>
      <c r="J72" s="7">
        <f t="shared" si="2"/>
        <v>407.23348527391869</v>
      </c>
      <c r="K72" s="65">
        <f>SUMPRODUCT(H72:J72,Tbl3.5!$B$13:$D$13)</f>
        <v>948.87215489390996</v>
      </c>
      <c r="L72" s="17"/>
      <c r="N72" s="24"/>
    </row>
    <row r="73" spans="1:14">
      <c r="A73" s="4">
        <v>40057</v>
      </c>
      <c r="B73" s="7">
        <f>VLOOKUP($A73,UIElg!$A$29:$K$136,11)*VLOOKUP($A73,UIBen!$A$29:$K$136,11)</f>
        <v>1447.1513683102201</v>
      </c>
      <c r="C73" s="7">
        <f>VLOOKUP($A73,UIElg!$A$29:$M$136,13)*VLOOKUP($A73,UIBen!$A$29:$M$136,13)</f>
        <v>0</v>
      </c>
      <c r="D73" s="7">
        <f>VLOOKUP($A73,SNAPElg!$A$29:$K$136,11)*VLOOKUP($A73,SNAPBen!$A$29:$K$136,11)</f>
        <v>308.59880691323934</v>
      </c>
      <c r="E73" s="7">
        <f>VLOOKUP($A73,MedicaidElgBen!$A$29:$M$136,11)*VLOOKUP($A73,MedicaidElgBen!$A$29:$M$136,13)</f>
        <v>357.99499046158439</v>
      </c>
      <c r="F73" s="7">
        <f>VLOOKUP($A73,OtherElgBen!$A$29:$M$136,11)*VLOOKUP($A73,OtherElgBen!$A$29:$M$136,13)</f>
        <v>233.64724974684938</v>
      </c>
      <c r="G73" s="8"/>
      <c r="H73" s="7">
        <f t="shared" si="0"/>
        <v>1317.8849680551514</v>
      </c>
      <c r="I73" s="7">
        <f t="shared" si="1"/>
        <v>530.26549231012359</v>
      </c>
      <c r="J73" s="7">
        <f t="shared" si="2"/>
        <v>406.96837240248908</v>
      </c>
      <c r="K73" s="65">
        <f>SUMPRODUCT(H73:J73,Tbl3.5!$B$13:$D$13)</f>
        <v>948.61071451981525</v>
      </c>
      <c r="L73" s="17"/>
      <c r="N73" s="24"/>
    </row>
    <row r="74" spans="1:14">
      <c r="A74" s="4">
        <v>40087</v>
      </c>
      <c r="B74" s="7">
        <f>VLOOKUP($A74,UIElg!$A$29:$K$136,11)*VLOOKUP($A74,UIBen!$A$29:$K$136,11)</f>
        <v>1447.1513683102201</v>
      </c>
      <c r="C74" s="7">
        <f>VLOOKUP($A74,UIElg!$A$29:$M$136,13)*VLOOKUP($A74,UIBen!$A$29:$M$136,13)</f>
        <v>0</v>
      </c>
      <c r="D74" s="7">
        <f>VLOOKUP($A74,SNAPElg!$A$29:$K$136,11)*VLOOKUP($A74,SNAPBen!$A$29:$K$136,11)</f>
        <v>307.61499948890577</v>
      </c>
      <c r="E74" s="7">
        <f>VLOOKUP($A74,MedicaidElgBen!$A$29:$M$136,11)*VLOOKUP($A74,MedicaidElgBen!$A$29:$M$136,13)</f>
        <v>357.99499046158439</v>
      </c>
      <c r="F74" s="7">
        <f>VLOOKUP($A74,OtherElgBen!$A$29:$M$136,11)*VLOOKUP($A74,OtherElgBen!$A$29:$M$136,13)</f>
        <v>233.64724974684938</v>
      </c>
      <c r="G74" s="8"/>
      <c r="H74" s="7">
        <f t="shared" si="0"/>
        <v>1317.3976134331972</v>
      </c>
      <c r="I74" s="7">
        <f t="shared" si="1"/>
        <v>529.85392653472377</v>
      </c>
      <c r="J74" s="7">
        <f t="shared" si="2"/>
        <v>406.48101778053501</v>
      </c>
      <c r="K74" s="65">
        <f>SUMPRODUCT(H74:J74,Tbl3.5!$B$13:$D$13)</f>
        <v>948.13011101688653</v>
      </c>
      <c r="L74" s="17"/>
      <c r="N74" s="24"/>
    </row>
    <row r="75" spans="1:14">
      <c r="A75" s="4">
        <v>40118</v>
      </c>
      <c r="B75" s="7">
        <f>VLOOKUP($A75,UIElg!$A$29:$K$136,11)*VLOOKUP($A75,UIBen!$A$29:$K$136,11)</f>
        <v>1447.1513683102201</v>
      </c>
      <c r="C75" s="7">
        <f>VLOOKUP($A75,UIElg!$A$29:$M$136,13)*VLOOKUP($A75,UIBen!$A$29:$M$136,13)</f>
        <v>0</v>
      </c>
      <c r="D75" s="7">
        <f>VLOOKUP($A75,SNAPElg!$A$29:$K$136,11)*VLOOKUP($A75,SNAPBen!$A$29:$K$136,11)</f>
        <v>307.01547426237363</v>
      </c>
      <c r="E75" s="7">
        <f>VLOOKUP($A75,MedicaidElgBen!$A$29:$M$136,11)*VLOOKUP($A75,MedicaidElgBen!$A$29:$M$136,13)</f>
        <v>357.99499046158439</v>
      </c>
      <c r="F75" s="7">
        <f>VLOOKUP($A75,OtherElgBen!$A$29:$M$136,11)*VLOOKUP($A75,OtherElgBen!$A$29:$M$136,13)</f>
        <v>233.64724974684938</v>
      </c>
      <c r="G75" s="8"/>
      <c r="H75" s="7">
        <f t="shared" si="0"/>
        <v>1317.1006230030566</v>
      </c>
      <c r="I75" s="7">
        <f t="shared" si="1"/>
        <v>529.60312128704379</v>
      </c>
      <c r="J75" s="7">
        <f t="shared" si="2"/>
        <v>406.18402735039433</v>
      </c>
      <c r="K75" s="65">
        <f>SUMPRODUCT(H75:J75,Tbl3.5!$B$13:$D$13)</f>
        <v>947.83723467052187</v>
      </c>
      <c r="L75" s="17"/>
      <c r="N75" s="24"/>
    </row>
    <row r="76" spans="1:14">
      <c r="A76" s="4">
        <v>40148</v>
      </c>
      <c r="B76" s="7">
        <f>VLOOKUP($A76,UIElg!$A$29:$K$136,11)*VLOOKUP($A76,UIBen!$A$29:$K$136,11)</f>
        <v>1483.9536487803016</v>
      </c>
      <c r="C76" s="7">
        <f>VLOOKUP($A76,UIElg!$A$29:$M$136,13)*VLOOKUP($A76,UIBen!$A$29:$M$136,13)</f>
        <v>0</v>
      </c>
      <c r="D76" s="7">
        <f>VLOOKUP($A76,SNAPElg!$A$29:$K$136,11)*VLOOKUP($A76,SNAPBen!$A$29:$K$136,11)</f>
        <v>306.837462028701</v>
      </c>
      <c r="E76" s="7">
        <f>VLOOKUP($A76,MedicaidElgBen!$A$29:$M$136,11)*VLOOKUP($A76,MedicaidElgBen!$A$29:$M$136,13)</f>
        <v>357.99499046158439</v>
      </c>
      <c r="F76" s="7">
        <f>VLOOKUP($A76,OtherElgBen!$A$29:$M$136,11)*VLOOKUP($A76,OtherElgBen!$A$29:$M$136,13)</f>
        <v>233.64724974684938</v>
      </c>
      <c r="G76" s="8"/>
      <c r="H76" s="7">
        <f t="shared" si="0"/>
        <v>1340.1778177098377</v>
      </c>
      <c r="I76" s="7">
        <f t="shared" si="1"/>
        <v>529.52865168946801</v>
      </c>
      <c r="J76" s="7">
        <f t="shared" si="2"/>
        <v>406.09584435573612</v>
      </c>
      <c r="K76" s="65">
        <f>SUMPRODUCT(H76:J76,Tbl3.5!$B$13:$D$13)</f>
        <v>961.24538654938397</v>
      </c>
      <c r="L76" s="17"/>
      <c r="N76" s="24"/>
    </row>
    <row r="77" spans="1:14">
      <c r="A77" s="4">
        <v>40179</v>
      </c>
      <c r="B77" s="7">
        <f>VLOOKUP($A77,UIElg!$A$29:$K$136,11)*VLOOKUP($A77,UIBen!$A$29:$K$136,11)</f>
        <v>1427.2145511441013</v>
      </c>
      <c r="C77" s="7">
        <f>VLOOKUP($A77,UIElg!$A$29:$M$136,13)*VLOOKUP($A77,UIBen!$A$29:$M$136,13)</f>
        <v>0</v>
      </c>
      <c r="D77" s="7">
        <f>VLOOKUP($A77,SNAPElg!$A$29:$K$136,11)*VLOOKUP($A77,SNAPBen!$A$29:$K$136,11)</f>
        <v>306.07767508384711</v>
      </c>
      <c r="E77" s="7">
        <f>VLOOKUP($A77,MedicaidElgBen!$A$29:$M$136,11)*VLOOKUP($A77,MedicaidElgBen!$A$29:$M$136,13)</f>
        <v>357.99499046158439</v>
      </c>
      <c r="F77" s="7">
        <f>VLOOKUP($A77,OtherElgBen!$A$29:$M$136,11)*VLOOKUP($A77,OtherElgBen!$A$29:$M$136,13)</f>
        <v>233.64724974684938</v>
      </c>
      <c r="G77" s="8"/>
      <c r="H77" s="7">
        <f t="shared" si="0"/>
        <v>1304.0867314632587</v>
      </c>
      <c r="I77" s="7">
        <f t="shared" si="1"/>
        <v>529.21080259078974</v>
      </c>
      <c r="J77" s="7">
        <f t="shared" si="2"/>
        <v>405.71946411086685</v>
      </c>
      <c r="K77" s="65">
        <f>SUMPRODUCT(H77:J77,Tbl3.5!$B$13:$D$13)</f>
        <v>940.06842925050842</v>
      </c>
      <c r="L77" s="17"/>
      <c r="N77" s="24"/>
    </row>
    <row r="78" spans="1:14">
      <c r="A78" s="4">
        <v>40210</v>
      </c>
      <c r="B78" s="7">
        <f>VLOOKUP($A78,UIElg!$A$29:$K$136,11)*VLOOKUP($A78,UIBen!$A$29:$K$136,11)</f>
        <v>1427.2145511441013</v>
      </c>
      <c r="C78" s="7">
        <f>VLOOKUP($A78,UIElg!$A$29:$M$136,13)*VLOOKUP($A78,UIBen!$A$29:$M$136,13)</f>
        <v>0</v>
      </c>
      <c r="D78" s="7">
        <f>VLOOKUP($A78,SNAPElg!$A$29:$K$136,11)*VLOOKUP($A78,SNAPBen!$A$29:$K$136,11)</f>
        <v>307.6240746324529</v>
      </c>
      <c r="E78" s="7">
        <f>VLOOKUP($A78,MedicaidElgBen!$A$29:$M$136,11)*VLOOKUP($A78,MedicaidElgBen!$A$29:$M$136,13)</f>
        <v>357.99499046158439</v>
      </c>
      <c r="F78" s="7">
        <f>VLOOKUP($A78,OtherElgBen!$A$29:$M$136,11)*VLOOKUP($A78,OtherElgBen!$A$29:$M$136,13)</f>
        <v>233.64724974684938</v>
      </c>
      <c r="G78" s="8"/>
      <c r="H78" s="7">
        <f t="shared" si="0"/>
        <v>1304.8527807415626</v>
      </c>
      <c r="I78" s="7">
        <f t="shared" si="1"/>
        <v>529.85772302822284</v>
      </c>
      <c r="J78" s="7">
        <f t="shared" si="2"/>
        <v>406.48551338917065</v>
      </c>
      <c r="K78" s="65">
        <f>SUMPRODUCT(H78:J78,Tbl3.5!$B$13:$D$13)</f>
        <v>940.82386676968611</v>
      </c>
      <c r="L78" s="17"/>
      <c r="N78" s="24"/>
    </row>
    <row r="79" spans="1:14">
      <c r="A79" s="4">
        <v>40238</v>
      </c>
      <c r="B79" s="7">
        <f>VLOOKUP($A79,UIElg!$A$29:$K$136,11)*VLOOKUP($A79,UIBen!$A$29:$K$136,11)</f>
        <v>1427.2145511441013</v>
      </c>
      <c r="C79" s="7">
        <f>VLOOKUP($A79,UIElg!$A$29:$M$136,13)*VLOOKUP($A79,UIBen!$A$29:$M$136,13)</f>
        <v>0</v>
      </c>
      <c r="D79" s="7">
        <f>VLOOKUP($A79,SNAPElg!$A$29:$K$136,11)*VLOOKUP($A79,SNAPBen!$A$29:$K$136,11)</f>
        <v>311.97500546606835</v>
      </c>
      <c r="E79" s="7">
        <f>VLOOKUP($A79,MedicaidElgBen!$A$29:$M$136,11)*VLOOKUP($A79,MedicaidElgBen!$A$29:$M$136,13)</f>
        <v>357.99499046158439</v>
      </c>
      <c r="F79" s="7">
        <f>VLOOKUP($A79,OtherElgBen!$A$29:$M$136,11)*VLOOKUP($A79,OtherElgBen!$A$29:$M$136,13)</f>
        <v>233.64724974684938</v>
      </c>
      <c r="G79" s="8"/>
      <c r="H79" s="7">
        <f t="shared" si="0"/>
        <v>1307.0081276103881</v>
      </c>
      <c r="I79" s="7">
        <f t="shared" si="1"/>
        <v>531.6778904491598</v>
      </c>
      <c r="J79" s="7">
        <f t="shared" si="2"/>
        <v>408.64086025799628</v>
      </c>
      <c r="K79" s="65">
        <f>SUMPRODUCT(H79:J79,Tbl3.5!$B$13:$D$13)</f>
        <v>942.94935652297977</v>
      </c>
      <c r="L79" s="17"/>
      <c r="N79" s="24"/>
    </row>
    <row r="80" spans="1:14">
      <c r="A80" s="4">
        <v>40269</v>
      </c>
      <c r="B80" s="7">
        <f>VLOOKUP($A80,UIElg!$A$29:$K$136,11)*VLOOKUP($A80,UIBen!$A$29:$K$136,11)</f>
        <v>1427.2145511441013</v>
      </c>
      <c r="C80" s="7">
        <f>VLOOKUP($A80,UIElg!$A$29:$M$136,13)*VLOOKUP($A80,UIBen!$A$29:$M$136,13)</f>
        <v>0</v>
      </c>
      <c r="D80" s="7">
        <f>VLOOKUP($A80,SNAPElg!$A$29:$K$136,11)*VLOOKUP($A80,SNAPBen!$A$29:$K$136,11)</f>
        <v>316.17258167884211</v>
      </c>
      <c r="E80" s="7">
        <f>VLOOKUP($A80,MedicaidElgBen!$A$29:$M$136,11)*VLOOKUP($A80,MedicaidElgBen!$A$29:$M$136,13)</f>
        <v>357.99499046158439</v>
      </c>
      <c r="F80" s="7">
        <f>VLOOKUP($A80,OtherElgBen!$A$29:$M$136,11)*VLOOKUP($A80,OtherElgBen!$A$29:$M$136,13)</f>
        <v>233.64724974684938</v>
      </c>
      <c r="G80" s="8"/>
      <c r="H80" s="7">
        <f t="shared" si="0"/>
        <v>1309.0875062750545</v>
      </c>
      <c r="I80" s="7">
        <f t="shared" si="1"/>
        <v>533.43390353269626</v>
      </c>
      <c r="J80" s="7">
        <f t="shared" si="2"/>
        <v>410.72023892266259</v>
      </c>
      <c r="K80" s="65">
        <f>SUMPRODUCT(H80:J80,Tbl3.5!$B$13:$D$13)</f>
        <v>944.99993042776134</v>
      </c>
      <c r="L80" s="17"/>
      <c r="N80" s="24"/>
    </row>
    <row r="81" spans="1:14">
      <c r="A81" s="4">
        <v>40299</v>
      </c>
      <c r="B81" s="7">
        <f>VLOOKUP($A81,UIElg!$A$29:$K$136,11)*VLOOKUP($A81,UIBen!$A$29:$K$136,11)</f>
        <v>1427.2145511441013</v>
      </c>
      <c r="C81" s="7">
        <f>VLOOKUP($A81,UIElg!$A$29:$M$136,13)*VLOOKUP($A81,UIBen!$A$29:$M$136,13)</f>
        <v>0</v>
      </c>
      <c r="D81" s="7">
        <f>VLOOKUP($A81,SNAPElg!$A$29:$K$136,11)*VLOOKUP($A81,SNAPBen!$A$29:$K$136,11)</f>
        <v>316.33222736594661</v>
      </c>
      <c r="E81" s="7">
        <f>VLOOKUP($A81,MedicaidElgBen!$A$29:$M$136,11)*VLOOKUP($A81,MedicaidElgBen!$A$29:$M$136,13)</f>
        <v>357.99499046158439</v>
      </c>
      <c r="F81" s="7">
        <f>VLOOKUP($A81,OtherElgBen!$A$29:$M$136,11)*VLOOKUP($A81,OtherElgBen!$A$29:$M$136,13)</f>
        <v>233.64724974684938</v>
      </c>
      <c r="G81" s="8"/>
      <c r="H81" s="7">
        <f t="shared" si="0"/>
        <v>1309.1665909226806</v>
      </c>
      <c r="I81" s="7">
        <f t="shared" si="1"/>
        <v>533.50068967333436</v>
      </c>
      <c r="J81" s="7">
        <f t="shared" si="2"/>
        <v>410.79932357028872</v>
      </c>
      <c r="K81" s="65">
        <f>SUMPRODUCT(H81:J81,Tbl3.5!$B$13:$D$13)</f>
        <v>945.0779195489572</v>
      </c>
      <c r="L81" s="17"/>
      <c r="N81" s="24"/>
    </row>
    <row r="82" spans="1:14">
      <c r="A82" s="4">
        <v>40330</v>
      </c>
      <c r="B82" s="7">
        <f>VLOOKUP($A82,UIElg!$A$29:$K$136,11)*VLOOKUP($A82,UIBen!$A$29:$K$136,11)</f>
        <v>1355.3260745211348</v>
      </c>
      <c r="C82" s="7">
        <f>VLOOKUP($A82,UIElg!$A$29:$M$136,13)*VLOOKUP($A82,UIBen!$A$29:$M$136,13)</f>
        <v>0</v>
      </c>
      <c r="D82" s="7">
        <f>VLOOKUP($A82,SNAPElg!$A$29:$K$136,11)*VLOOKUP($A82,SNAPBen!$A$29:$K$136,11)</f>
        <v>321.31464612627747</v>
      </c>
      <c r="E82" s="7">
        <f>VLOOKUP($A82,MedicaidElgBen!$A$29:$M$136,11)*VLOOKUP($A82,MedicaidElgBen!$A$29:$M$136,13)</f>
        <v>357.99499046158439</v>
      </c>
      <c r="F82" s="7">
        <f>VLOOKUP($A82,OtherElgBen!$A$29:$M$136,11)*VLOOKUP($A82,OtherElgBen!$A$29:$M$136,13)</f>
        <v>233.64724974684938</v>
      </c>
      <c r="G82" s="8"/>
      <c r="H82" s="7">
        <f t="shared" si="0"/>
        <v>1266.3842041466737</v>
      </c>
      <c r="I82" s="7">
        <f t="shared" si="1"/>
        <v>535.58503361071746</v>
      </c>
      <c r="J82" s="7">
        <f t="shared" si="2"/>
        <v>413.2674944249685</v>
      </c>
      <c r="K82" s="65">
        <f>SUMPRODUCT(H82:J82,Tbl3.5!$B$13:$D$13)</f>
        <v>921.1509481715284</v>
      </c>
      <c r="L82" s="17"/>
      <c r="N82" s="24"/>
    </row>
    <row r="83" spans="1:14">
      <c r="A83" s="4">
        <v>40360</v>
      </c>
      <c r="B83" s="7">
        <f>VLOOKUP($A83,UIElg!$A$29:$K$136,11)*VLOOKUP($A83,UIBen!$A$29:$K$136,11)</f>
        <v>1299.9365635175932</v>
      </c>
      <c r="C83" s="7">
        <f>VLOOKUP($A83,UIElg!$A$29:$M$136,13)*VLOOKUP($A83,UIBen!$A$29:$M$136,13)</f>
        <v>0</v>
      </c>
      <c r="D83" s="7">
        <f>VLOOKUP($A83,SNAPElg!$A$29:$K$136,11)*VLOOKUP($A83,SNAPBen!$A$29:$K$136,11)</f>
        <v>331.26639193281181</v>
      </c>
      <c r="E83" s="7">
        <f>VLOOKUP($A83,MedicaidElgBen!$A$29:$M$136,11)*VLOOKUP($A83,MedicaidElgBen!$A$29:$M$136,13)</f>
        <v>357.99499046158439</v>
      </c>
      <c r="F83" s="7">
        <f>VLOOKUP($A83,OtherElgBen!$A$29:$M$136,11)*VLOOKUP($A83,OtherElgBen!$A$29:$M$136,13)</f>
        <v>233.64724974684938</v>
      </c>
      <c r="G83" s="8"/>
      <c r="H83" s="7">
        <f t="shared" si="0"/>
        <v>1236.4488585224933</v>
      </c>
      <c r="I83" s="7">
        <f t="shared" si="1"/>
        <v>539.74824470075623</v>
      </c>
      <c r="J83" s="7">
        <f t="shared" si="2"/>
        <v>418.19735081288053</v>
      </c>
      <c r="K83" s="65">
        <f>SUMPRODUCT(H83:J83,Tbl3.5!$B$13:$D$13)</f>
        <v>905.70160547903288</v>
      </c>
      <c r="L83" s="17"/>
      <c r="N83" s="24"/>
    </row>
    <row r="84" spans="1:14">
      <c r="A84" s="4">
        <v>40391</v>
      </c>
      <c r="B84" s="7">
        <f>VLOOKUP($A84,UIElg!$A$29:$K$136,11)*VLOOKUP($A84,UIBen!$A$29:$K$136,11)</f>
        <v>1299.9365635175932</v>
      </c>
      <c r="C84" s="7">
        <f>VLOOKUP($A84,UIElg!$A$29:$M$136,13)*VLOOKUP($A84,UIBen!$A$29:$M$136,13)</f>
        <v>0</v>
      </c>
      <c r="D84" s="7">
        <f>VLOOKUP($A84,SNAPElg!$A$29:$K$136,11)*VLOOKUP($A84,SNAPBen!$A$29:$K$136,11)</f>
        <v>330.73292289323592</v>
      </c>
      <c r="E84" s="7">
        <f>VLOOKUP($A84,MedicaidElgBen!$A$29:$M$136,11)*VLOOKUP($A84,MedicaidElgBen!$A$29:$M$136,13)</f>
        <v>357.99499046158439</v>
      </c>
      <c r="F84" s="7">
        <f>VLOOKUP($A84,OtherElgBen!$A$29:$M$136,11)*VLOOKUP($A84,OtherElgBen!$A$29:$M$136,13)</f>
        <v>233.64724974684938</v>
      </c>
      <c r="G84" s="8"/>
      <c r="H84" s="7">
        <f t="shared" si="0"/>
        <v>1236.1845907443935</v>
      </c>
      <c r="I84" s="7">
        <f t="shared" si="1"/>
        <v>539.5250733833883</v>
      </c>
      <c r="J84" s="7">
        <f t="shared" si="2"/>
        <v>417.93308303478079</v>
      </c>
      <c r="K84" s="65">
        <f>SUMPRODUCT(H84:J84,Tbl3.5!$B$13:$D$13)</f>
        <v>905.44099849154463</v>
      </c>
      <c r="L84" s="17"/>
      <c r="N84" s="24"/>
    </row>
    <row r="85" spans="1:14">
      <c r="A85" s="4">
        <v>40422</v>
      </c>
      <c r="B85" s="7">
        <f>VLOOKUP($A85,UIElg!$A$29:$K$136,11)*VLOOKUP($A85,UIBen!$A$29:$K$136,11)</f>
        <v>1299.9365635175932</v>
      </c>
      <c r="C85" s="7">
        <f>VLOOKUP($A85,UIElg!$A$29:$M$136,13)*VLOOKUP($A85,UIBen!$A$29:$M$136,13)</f>
        <v>0</v>
      </c>
      <c r="D85" s="7">
        <f>VLOOKUP($A85,SNAPElg!$A$29:$K$136,11)*VLOOKUP($A85,SNAPBen!$A$29:$K$136,11)</f>
        <v>330.35250023231151</v>
      </c>
      <c r="E85" s="7">
        <f>VLOOKUP($A85,MedicaidElgBen!$A$29:$M$136,11)*VLOOKUP($A85,MedicaidElgBen!$A$29:$M$136,13)</f>
        <v>357.99499046158439</v>
      </c>
      <c r="F85" s="7">
        <f>VLOOKUP($A85,OtherElgBen!$A$29:$M$136,11)*VLOOKUP($A85,OtherElgBen!$A$29:$M$136,13)</f>
        <v>233.64724974684938</v>
      </c>
      <c r="G85" s="8"/>
      <c r="H85" s="7">
        <f t="shared" si="0"/>
        <v>1235.9961384746587</v>
      </c>
      <c r="I85" s="7">
        <f t="shared" si="1"/>
        <v>539.36592745345285</v>
      </c>
      <c r="J85" s="7">
        <f t="shared" si="2"/>
        <v>417.74463076504605</v>
      </c>
      <c r="K85" s="65">
        <f>SUMPRODUCT(H85:J85,Tbl3.5!$B$13:$D$13)</f>
        <v>905.25515677200531</v>
      </c>
      <c r="L85" s="17"/>
      <c r="N85" s="24"/>
    </row>
    <row r="86" spans="1:14">
      <c r="A86" s="4">
        <v>40452</v>
      </c>
      <c r="B86" s="7">
        <f>VLOOKUP($A86,UIElg!$A$29:$K$136,11)*VLOOKUP($A86,UIBen!$A$29:$K$136,11)</f>
        <v>1299.9365635175932</v>
      </c>
      <c r="C86" s="7">
        <f>VLOOKUP($A86,UIElg!$A$29:$M$136,13)*VLOOKUP($A86,UIBen!$A$29:$M$136,13)</f>
        <v>0</v>
      </c>
      <c r="D86" s="7">
        <f>VLOOKUP($A86,SNAPElg!$A$29:$K$136,11)*VLOOKUP($A86,SNAPBen!$A$29:$K$136,11)</f>
        <v>329.63860564150445</v>
      </c>
      <c r="E86" s="7">
        <f>VLOOKUP($A86,MedicaidElgBen!$A$29:$M$136,11)*VLOOKUP($A86,MedicaidElgBen!$A$29:$M$136,13)</f>
        <v>357.99499046158439</v>
      </c>
      <c r="F86" s="7">
        <f>VLOOKUP($A86,OtherElgBen!$A$29:$M$136,11)*VLOOKUP($A86,OtherElgBen!$A$29:$M$136,13)</f>
        <v>233.64724974684938</v>
      </c>
      <c r="G86" s="8"/>
      <c r="H86" s="7">
        <f t="shared" si="0"/>
        <v>1235.6424922022152</v>
      </c>
      <c r="I86" s="7">
        <f t="shared" si="1"/>
        <v>539.06727695178756</v>
      </c>
      <c r="J86" s="7">
        <f t="shared" si="2"/>
        <v>417.39098449260257</v>
      </c>
      <c r="K86" s="65">
        <f>SUMPRODUCT(H86:J86,Tbl3.5!$B$13:$D$13)</f>
        <v>904.90640941294168</v>
      </c>
      <c r="L86" s="17"/>
      <c r="N86" s="24"/>
    </row>
    <row r="87" spans="1:14">
      <c r="A87" s="4">
        <v>40483</v>
      </c>
      <c r="B87" s="7">
        <f>VLOOKUP($A87,UIElg!$A$29:$K$136,11)*VLOOKUP($A87,UIBen!$A$29:$K$136,11)</f>
        <v>1299.9365635175932</v>
      </c>
      <c r="C87" s="7">
        <f>VLOOKUP($A87,UIElg!$A$29:$M$136,13)*VLOOKUP($A87,UIBen!$A$29:$M$136,13)</f>
        <v>0</v>
      </c>
      <c r="D87" s="7">
        <f>VLOOKUP($A87,SNAPElg!$A$29:$K$136,11)*VLOOKUP($A87,SNAPBen!$A$29:$K$136,11)</f>
        <v>329.38165003137618</v>
      </c>
      <c r="E87" s="7">
        <f>VLOOKUP($A87,MedicaidElgBen!$A$29:$M$136,11)*VLOOKUP($A87,MedicaidElgBen!$A$29:$M$136,13)</f>
        <v>357.99499046158439</v>
      </c>
      <c r="F87" s="7">
        <f>VLOOKUP($A87,OtherElgBen!$A$29:$M$136,11)*VLOOKUP($A87,OtherElgBen!$A$29:$M$136,13)</f>
        <v>233.64724974684938</v>
      </c>
      <c r="G87" s="8"/>
      <c r="H87" s="7">
        <f t="shared" si="0"/>
        <v>1235.5152025506679</v>
      </c>
      <c r="I87" s="7">
        <f t="shared" si="1"/>
        <v>538.95978219995902</v>
      </c>
      <c r="J87" s="7">
        <f t="shared" si="2"/>
        <v>417.26369484105527</v>
      </c>
      <c r="K87" s="65">
        <f>SUMPRODUCT(H87:J87,Tbl3.5!$B$13:$D$13)</f>
        <v>904.7808830515113</v>
      </c>
      <c r="L87" s="17"/>
      <c r="N87" s="24"/>
    </row>
    <row r="88" spans="1:14">
      <c r="A88" s="4">
        <v>40513</v>
      </c>
      <c r="B88" s="7">
        <f>VLOOKUP($A88,UIElg!$A$29:$K$136,11)*VLOOKUP($A88,UIBen!$A$29:$K$136,11)</f>
        <v>1228.0480868946267</v>
      </c>
      <c r="C88" s="7">
        <f>VLOOKUP($A88,UIElg!$A$29:$M$136,13)*VLOOKUP($A88,UIBen!$A$29:$M$136,13)</f>
        <v>0</v>
      </c>
      <c r="D88" s="7">
        <f>VLOOKUP($A88,SNAPElg!$A$29:$K$136,11)*VLOOKUP($A88,SNAPBen!$A$29:$K$136,11)</f>
        <v>328.55737899482398</v>
      </c>
      <c r="E88" s="7">
        <f>VLOOKUP($A88,MedicaidElgBen!$A$29:$M$136,11)*VLOOKUP($A88,MedicaidElgBen!$A$29:$M$136,13)</f>
        <v>357.99499046158439</v>
      </c>
      <c r="F88" s="7">
        <f>VLOOKUP($A88,OtherElgBen!$A$29:$M$136,11)*VLOOKUP($A88,OtherElgBen!$A$29:$M$136,13)</f>
        <v>233.64724974684938</v>
      </c>
      <c r="G88" s="8"/>
      <c r="H88" s="7">
        <f t="shared" si="0"/>
        <v>1189.8563208013882</v>
      </c>
      <c r="I88" s="7">
        <f t="shared" si="1"/>
        <v>538.61495684094325</v>
      </c>
      <c r="J88" s="7">
        <f t="shared" si="2"/>
        <v>416.855370722462</v>
      </c>
      <c r="K88" s="65">
        <f>SUMPRODUCT(H88:J88,Tbl3.5!$B$13:$D$13)</f>
        <v>878.01726357835196</v>
      </c>
      <c r="L88" s="17"/>
      <c r="N88" s="24"/>
    </row>
    <row r="89" spans="1:14">
      <c r="A89" s="4">
        <v>40544</v>
      </c>
      <c r="B89" s="7">
        <f>VLOOKUP($A89,UIElg!$A$29:$K$136,11)*VLOOKUP($A89,UIBen!$A$29:$K$136,11)</f>
        <v>1173.8770554835396</v>
      </c>
      <c r="C89" s="7">
        <f>VLOOKUP($A89,UIElg!$A$29:$M$136,13)*VLOOKUP($A89,UIBen!$A$29:$M$136,13)</f>
        <v>0</v>
      </c>
      <c r="D89" s="7">
        <f>VLOOKUP($A89,SNAPElg!$A$29:$K$136,11)*VLOOKUP($A89,SNAPBen!$A$29:$K$136,11)</f>
        <v>328.99751133885462</v>
      </c>
      <c r="E89" s="7">
        <f>VLOOKUP($A89,MedicaidElgBen!$A$29:$M$136,11)*VLOOKUP($A89,MedicaidElgBen!$A$29:$M$136,13)</f>
        <v>357.99499046158439</v>
      </c>
      <c r="F89" s="7">
        <f>VLOOKUP($A89,OtherElgBen!$A$29:$M$136,11)*VLOOKUP($A89,OtherElgBen!$A$29:$M$136,13)</f>
        <v>233.64724974684938</v>
      </c>
      <c r="G89" s="8"/>
      <c r="H89" s="7">
        <f t="shared" si="0"/>
        <v>1155.976127819019</v>
      </c>
      <c r="I89" s="7">
        <f t="shared" si="1"/>
        <v>538.79908170620558</v>
      </c>
      <c r="J89" s="7">
        <f t="shared" si="2"/>
        <v>417.07340173831864</v>
      </c>
      <c r="K89" s="65">
        <f>SUMPRODUCT(H89:J89,Tbl3.5!$B$13:$D$13)</f>
        <v>858.36817355188396</v>
      </c>
      <c r="L89" s="17"/>
      <c r="N89" s="24"/>
    </row>
    <row r="90" spans="1:14">
      <c r="A90" s="4">
        <v>40575</v>
      </c>
      <c r="B90" s="7">
        <f>VLOOKUP($A90,UIElg!$A$29:$K$136,11)*VLOOKUP($A90,UIBen!$A$29:$K$136,11)</f>
        <v>1173.8770554835396</v>
      </c>
      <c r="C90" s="7">
        <f>VLOOKUP($A90,UIElg!$A$29:$M$136,13)*VLOOKUP($A90,UIBen!$A$29:$M$136,13)</f>
        <v>0</v>
      </c>
      <c r="D90" s="7">
        <f>VLOOKUP($A90,SNAPElg!$A$29:$K$136,11)*VLOOKUP($A90,SNAPBen!$A$29:$K$136,11)</f>
        <v>327.69024032428399</v>
      </c>
      <c r="E90" s="7">
        <f>VLOOKUP($A90,MedicaidElgBen!$A$29:$M$136,11)*VLOOKUP($A90,MedicaidElgBen!$A$29:$M$136,13)</f>
        <v>357.99499046158439</v>
      </c>
      <c r="F90" s="7">
        <f>VLOOKUP($A90,OtherElgBen!$A$29:$M$136,11)*VLOOKUP($A90,OtherElgBen!$A$29:$M$136,13)</f>
        <v>233.64724974684938</v>
      </c>
      <c r="G90" s="8"/>
      <c r="H90" s="7">
        <f t="shared" si="0"/>
        <v>1155.3285370859758</v>
      </c>
      <c r="I90" s="7">
        <f t="shared" si="1"/>
        <v>538.25219824561998</v>
      </c>
      <c r="J90" s="7">
        <f t="shared" si="2"/>
        <v>416.42581100527548</v>
      </c>
      <c r="K90" s="65">
        <f>SUMPRODUCT(H90:J90,Tbl3.5!$B$13:$D$13)</f>
        <v>857.72955362145899</v>
      </c>
      <c r="L90" s="17"/>
      <c r="N90" s="24"/>
    </row>
    <row r="91" spans="1:14">
      <c r="A91" s="4">
        <v>40603</v>
      </c>
      <c r="B91" s="7">
        <f>VLOOKUP($A91,UIElg!$A$29:$K$136,11)*VLOOKUP($A91,UIBen!$A$29:$K$136,11)</f>
        <v>1173.8770554835396</v>
      </c>
      <c r="C91" s="7">
        <f>VLOOKUP($A91,UIElg!$A$29:$M$136,13)*VLOOKUP($A91,UIBen!$A$29:$M$136,13)</f>
        <v>0</v>
      </c>
      <c r="D91" s="7">
        <f>VLOOKUP($A91,SNAPElg!$A$29:$K$136,11)*VLOOKUP($A91,SNAPBen!$A$29:$K$136,11)</f>
        <v>326.39620055693803</v>
      </c>
      <c r="E91" s="7">
        <f>VLOOKUP($A91,MedicaidElgBen!$A$29:$M$136,11)*VLOOKUP($A91,MedicaidElgBen!$A$29:$M$136,13)</f>
        <v>357.99499046158439</v>
      </c>
      <c r="F91" s="7">
        <f>VLOOKUP($A91,OtherElgBen!$A$29:$M$136,11)*VLOOKUP($A91,OtherElgBen!$A$29:$M$136,13)</f>
        <v>233.64724974684938</v>
      </c>
      <c r="G91" s="8"/>
      <c r="H91" s="7">
        <f t="shared" si="0"/>
        <v>1154.6875007957326</v>
      </c>
      <c r="I91" s="7">
        <f t="shared" si="1"/>
        <v>537.71084994200589</v>
      </c>
      <c r="J91" s="7">
        <f t="shared" si="2"/>
        <v>415.78477471503237</v>
      </c>
      <c r="K91" s="65">
        <f>SUMPRODUCT(H91:J91,Tbl3.5!$B$13:$D$13)</f>
        <v>857.09739733788888</v>
      </c>
      <c r="L91" s="17"/>
      <c r="N91" s="24"/>
    </row>
    <row r="92" spans="1:14">
      <c r="A92" s="4">
        <v>40634</v>
      </c>
      <c r="B92" s="7">
        <f>VLOOKUP($A92,UIElg!$A$29:$K$136,11)*VLOOKUP($A92,UIBen!$A$29:$K$136,11)</f>
        <v>1173.8770554835396</v>
      </c>
      <c r="C92" s="7">
        <f>VLOOKUP($A92,UIElg!$A$29:$M$136,13)*VLOOKUP($A92,UIBen!$A$29:$M$136,13)</f>
        <v>0</v>
      </c>
      <c r="D92" s="7">
        <f>VLOOKUP($A92,SNAPElg!$A$29:$K$136,11)*VLOOKUP($A92,SNAPBen!$A$29:$K$136,11)</f>
        <v>325.28694775349572</v>
      </c>
      <c r="E92" s="7">
        <f>VLOOKUP($A92,MedicaidElgBen!$A$29:$M$136,11)*VLOOKUP($A92,MedicaidElgBen!$A$29:$M$136,13)</f>
        <v>357.99499046158439</v>
      </c>
      <c r="F92" s="7">
        <f>VLOOKUP($A92,OtherElgBen!$A$29:$M$136,11)*VLOOKUP($A92,OtherElgBen!$A$29:$M$136,13)</f>
        <v>233.64724974684938</v>
      </c>
      <c r="G92" s="8"/>
      <c r="H92" s="7">
        <f t="shared" si="0"/>
        <v>1154.1380035391539</v>
      </c>
      <c r="I92" s="7">
        <f t="shared" si="1"/>
        <v>537.24680537508016</v>
      </c>
      <c r="J92" s="7">
        <f t="shared" si="2"/>
        <v>415.23527745845365</v>
      </c>
      <c r="K92" s="65">
        <f>SUMPRODUCT(H92:J92,Tbl3.5!$B$13:$D$13)</f>
        <v>856.55551203617051</v>
      </c>
      <c r="L92" s="17"/>
      <c r="N92" s="24"/>
    </row>
    <row r="93" spans="1:14">
      <c r="A93" s="4">
        <v>40664</v>
      </c>
      <c r="B93" s="7">
        <f>VLOOKUP($A93,UIElg!$A$29:$K$136,11)*VLOOKUP($A93,UIBen!$A$29:$K$136,11)</f>
        <v>1173.8770554835396</v>
      </c>
      <c r="C93" s="7">
        <f>VLOOKUP($A93,UIElg!$A$29:$M$136,13)*VLOOKUP($A93,UIBen!$A$29:$M$136,13)</f>
        <v>0</v>
      </c>
      <c r="D93" s="7">
        <f>VLOOKUP($A93,SNAPElg!$A$29:$K$136,11)*VLOOKUP($A93,SNAPBen!$A$29:$K$136,11)</f>
        <v>324.71516545827075</v>
      </c>
      <c r="E93" s="7">
        <f>VLOOKUP($A93,MedicaidElgBen!$A$29:$M$136,11)*VLOOKUP($A93,MedicaidElgBen!$A$29:$M$136,13)</f>
        <v>357.99499046158439</v>
      </c>
      <c r="F93" s="7">
        <f>VLOOKUP($A93,OtherElgBen!$A$29:$M$136,11)*VLOOKUP($A93,OtherElgBen!$A$29:$M$136,13)</f>
        <v>233.64724974684938</v>
      </c>
      <c r="G93" s="8"/>
      <c r="H93" s="7">
        <f t="shared" si="0"/>
        <v>1153.8547562923484</v>
      </c>
      <c r="I93" s="7">
        <f t="shared" si="1"/>
        <v>537.00760609900885</v>
      </c>
      <c r="J93" s="7">
        <f t="shared" si="2"/>
        <v>414.95203021164809</v>
      </c>
      <c r="K93" s="65">
        <f>SUMPRODUCT(H93:J93,Tbl3.5!$B$13:$D$13)</f>
        <v>856.27618849459043</v>
      </c>
      <c r="L93" s="17"/>
      <c r="N93" s="24"/>
    </row>
    <row r="94" spans="1:14">
      <c r="A94" s="4">
        <v>40695</v>
      </c>
      <c r="B94" s="7">
        <f>VLOOKUP($A94,UIElg!$A$29:$K$136,11)*VLOOKUP($A94,UIBen!$A$29:$K$136,11)</f>
        <v>1173.8770554835396</v>
      </c>
      <c r="C94" s="7">
        <f>VLOOKUP($A94,UIElg!$A$29:$M$136,13)*VLOOKUP($A94,UIBen!$A$29:$M$136,13)</f>
        <v>0</v>
      </c>
      <c r="D94" s="7">
        <f>VLOOKUP($A94,SNAPElg!$A$29:$K$136,11)*VLOOKUP($A94,SNAPBen!$A$29:$K$136,11)</f>
        <v>325.12378473421546</v>
      </c>
      <c r="E94" s="7">
        <f>VLOOKUP($A94,MedicaidElgBen!$A$29:$M$136,11)*VLOOKUP($A94,MedicaidElgBen!$A$29:$M$136,13)</f>
        <v>357.99499046158439</v>
      </c>
      <c r="F94" s="7">
        <f>VLOOKUP($A94,OtherElgBen!$A$29:$M$136,11)*VLOOKUP($A94,OtherElgBen!$A$29:$M$136,13)</f>
        <v>233.64724974684938</v>
      </c>
      <c r="G94" s="8"/>
      <c r="H94" s="7">
        <f t="shared" ref="H94:H136" si="3">SUMPRODUCT($B$20:$F$20,$B94:$F94)</f>
        <v>1154.0571764894576</v>
      </c>
      <c r="I94" s="7">
        <f t="shared" ref="I94:I136" si="4">SUMPRODUCT($B$21:$F$21,$B94:$F94)</f>
        <v>537.1785477944951</v>
      </c>
      <c r="J94" s="7">
        <f t="shared" ref="J94:J136" si="5">SUMPRODUCT($B$22:$F$22,$B94:$F94)</f>
        <v>415.15445040875738</v>
      </c>
      <c r="K94" s="65">
        <f>SUMPRODUCT(H94:J94,Tbl3.5!$B$13:$D$13)</f>
        <v>856.47580464966904</v>
      </c>
      <c r="L94" s="17"/>
      <c r="N94" s="24"/>
    </row>
    <row r="95" spans="1:14">
      <c r="A95" s="4">
        <v>40725</v>
      </c>
      <c r="B95" s="7">
        <f>VLOOKUP($A95,UIElg!$A$29:$K$136,11)*VLOOKUP($A95,UIBen!$A$29:$K$136,11)</f>
        <v>1173.8770554835396</v>
      </c>
      <c r="C95" s="7">
        <f>VLOOKUP($A95,UIElg!$A$29:$M$136,13)*VLOOKUP($A95,UIBen!$A$29:$M$136,13)</f>
        <v>0</v>
      </c>
      <c r="D95" s="7">
        <f>VLOOKUP($A95,SNAPElg!$A$29:$K$136,11)*VLOOKUP($A95,SNAPBen!$A$29:$K$136,11)</f>
        <v>323.93507922424499</v>
      </c>
      <c r="E95" s="7">
        <f>VLOOKUP($A95,MedicaidElgBen!$A$29:$M$136,11)*VLOOKUP($A95,MedicaidElgBen!$A$29:$M$136,13)</f>
        <v>357.99499046158439</v>
      </c>
      <c r="F95" s="7">
        <f>VLOOKUP($A95,OtherElgBen!$A$29:$M$136,11)*VLOOKUP($A95,OtherElgBen!$A$29:$M$136,13)</f>
        <v>233.64724974684938</v>
      </c>
      <c r="G95" s="8"/>
      <c r="H95" s="7">
        <f t="shared" si="3"/>
        <v>1153.4683202660776</v>
      </c>
      <c r="I95" s="7">
        <f t="shared" si="4"/>
        <v>536.68126500028927</v>
      </c>
      <c r="J95" s="7">
        <f t="shared" si="5"/>
        <v>414.56559418537734</v>
      </c>
      <c r="K95" s="65">
        <f>SUMPRODUCT(H95:J95,Tbl3.5!$B$13:$D$13)</f>
        <v>855.8951056043968</v>
      </c>
      <c r="L95" s="17"/>
      <c r="N95" s="24"/>
    </row>
    <row r="96" spans="1:14">
      <c r="A96" s="4">
        <v>40756</v>
      </c>
      <c r="B96" s="7">
        <f>VLOOKUP($A96,UIElg!$A$29:$K$136,11)*VLOOKUP($A96,UIBen!$A$29:$K$136,11)</f>
        <v>1173.8770554835396</v>
      </c>
      <c r="C96" s="7">
        <f>VLOOKUP($A96,UIElg!$A$29:$M$136,13)*VLOOKUP($A96,UIBen!$A$29:$M$136,13)</f>
        <v>0</v>
      </c>
      <c r="D96" s="7">
        <f>VLOOKUP($A96,SNAPElg!$A$29:$K$136,11)*VLOOKUP($A96,SNAPBen!$A$29:$K$136,11)</f>
        <v>323.0570068014589</v>
      </c>
      <c r="E96" s="7">
        <f>VLOOKUP($A96,MedicaidElgBen!$A$29:$M$136,11)*VLOOKUP($A96,MedicaidElgBen!$A$29:$M$136,13)</f>
        <v>357.99499046158439</v>
      </c>
      <c r="F96" s="7">
        <f>VLOOKUP($A96,OtherElgBen!$A$29:$M$136,11)*VLOOKUP($A96,OtherElgBen!$A$29:$M$136,13)</f>
        <v>233.64724974684938</v>
      </c>
      <c r="G96" s="8"/>
      <c r="H96" s="7">
        <f t="shared" si="3"/>
        <v>1153.0333442300459</v>
      </c>
      <c r="I96" s="7">
        <f t="shared" si="4"/>
        <v>536.31393238152407</v>
      </c>
      <c r="J96" s="7">
        <f t="shared" si="5"/>
        <v>414.13061814934559</v>
      </c>
      <c r="K96" s="65">
        <f>SUMPRODUCT(H96:J96,Tbl3.5!$B$13:$D$13)</f>
        <v>855.46615510882418</v>
      </c>
      <c r="L96" s="17"/>
      <c r="N96" s="24"/>
    </row>
    <row r="97" spans="1:14">
      <c r="A97" s="4">
        <v>40787</v>
      </c>
      <c r="B97" s="7">
        <f>VLOOKUP($A97,UIElg!$A$29:$K$136,11)*VLOOKUP($A97,UIBen!$A$29:$K$136,11)</f>
        <v>1173.8770554835396</v>
      </c>
      <c r="C97" s="7">
        <f>VLOOKUP($A97,UIElg!$A$29:$M$136,13)*VLOOKUP($A97,UIBen!$A$29:$M$136,13)</f>
        <v>0</v>
      </c>
      <c r="D97" s="7">
        <f>VLOOKUP($A97,SNAPElg!$A$29:$K$136,11)*VLOOKUP($A97,SNAPBen!$A$29:$K$136,11)</f>
        <v>322.52118237549138</v>
      </c>
      <c r="E97" s="7">
        <f>VLOOKUP($A97,MedicaidElgBen!$A$29:$M$136,11)*VLOOKUP($A97,MedicaidElgBen!$A$29:$M$136,13)</f>
        <v>357.99499046158439</v>
      </c>
      <c r="F97" s="7">
        <f>VLOOKUP($A97,OtherElgBen!$A$29:$M$136,11)*VLOOKUP($A97,OtherElgBen!$A$29:$M$136,13)</f>
        <v>233.64724974684938</v>
      </c>
      <c r="G97" s="8"/>
      <c r="H97" s="7">
        <f t="shared" si="3"/>
        <v>1152.7679096499724</v>
      </c>
      <c r="I97" s="7">
        <f t="shared" si="4"/>
        <v>536.08977571234573</v>
      </c>
      <c r="J97" s="7">
        <f t="shared" si="5"/>
        <v>413.86518356927218</v>
      </c>
      <c r="K97" s="65">
        <f>SUMPRODUCT(H97:J97,Tbl3.5!$B$13:$D$13)</f>
        <v>855.20439748258013</v>
      </c>
      <c r="L97" s="17"/>
      <c r="N97" s="24"/>
    </row>
    <row r="98" spans="1:14">
      <c r="A98" s="4">
        <v>40817</v>
      </c>
      <c r="B98" s="7">
        <f>VLOOKUP($A98,UIElg!$A$29:$K$136,11)*VLOOKUP($A98,UIBen!$A$29:$K$136,11)</f>
        <v>1173.8770554835396</v>
      </c>
      <c r="C98" s="7">
        <f>VLOOKUP($A98,UIElg!$A$29:$M$136,13)*VLOOKUP($A98,UIBen!$A$29:$M$136,13)</f>
        <v>0</v>
      </c>
      <c r="D98" s="7">
        <f>VLOOKUP($A98,SNAPElg!$A$29:$K$136,11)*VLOOKUP($A98,SNAPBen!$A$29:$K$136,11)</f>
        <v>324.33019130560172</v>
      </c>
      <c r="E98" s="7">
        <f>VLOOKUP($A98,MedicaidElgBen!$A$29:$M$136,11)*VLOOKUP($A98,MedicaidElgBen!$A$29:$M$136,13)</f>
        <v>357.99499046158439</v>
      </c>
      <c r="F98" s="7">
        <f>VLOOKUP($A98,OtherElgBen!$A$29:$M$136,11)*VLOOKUP($A98,OtherElgBen!$A$29:$M$136,13)</f>
        <v>233.64724974684938</v>
      </c>
      <c r="G98" s="8"/>
      <c r="H98" s="7">
        <f t="shared" si="3"/>
        <v>1153.6640493226757</v>
      </c>
      <c r="I98" s="7">
        <f t="shared" si="4"/>
        <v>536.84655609904632</v>
      </c>
      <c r="J98" s="7">
        <f t="shared" si="5"/>
        <v>414.76132324197545</v>
      </c>
      <c r="K98" s="65">
        <f>SUMPRODUCT(H98:J98,Tbl3.5!$B$13:$D$13)</f>
        <v>856.08812330852516</v>
      </c>
      <c r="L98" s="17"/>
      <c r="N98" s="24"/>
    </row>
    <row r="99" spans="1:14">
      <c r="A99" s="4">
        <v>40848</v>
      </c>
      <c r="B99" s="7">
        <f>VLOOKUP($A99,UIElg!$A$29:$K$136,11)*VLOOKUP($A99,UIBen!$A$29:$K$136,11)</f>
        <v>1173.8770554835396</v>
      </c>
      <c r="C99" s="7">
        <f>VLOOKUP($A99,UIElg!$A$29:$M$136,13)*VLOOKUP($A99,UIBen!$A$29:$M$136,13)</f>
        <v>0</v>
      </c>
      <c r="D99" s="7">
        <f>VLOOKUP($A99,SNAPElg!$A$29:$K$136,11)*VLOOKUP($A99,SNAPBen!$A$29:$K$136,11)</f>
        <v>324.04451010381337</v>
      </c>
      <c r="E99" s="7">
        <f>VLOOKUP($A99,MedicaidElgBen!$A$29:$M$136,11)*VLOOKUP($A99,MedicaidElgBen!$A$29:$M$136,13)</f>
        <v>357.99499046158439</v>
      </c>
      <c r="F99" s="7">
        <f>VLOOKUP($A99,OtherElgBen!$A$29:$M$136,11)*VLOOKUP($A99,OtherElgBen!$A$29:$M$136,13)</f>
        <v>233.64724974684938</v>
      </c>
      <c r="G99" s="8"/>
      <c r="H99" s="7">
        <f t="shared" si="3"/>
        <v>1153.5225297014031</v>
      </c>
      <c r="I99" s="7">
        <f t="shared" si="4"/>
        <v>536.72704428969928</v>
      </c>
      <c r="J99" s="7">
        <f t="shared" si="5"/>
        <v>414.61980362070278</v>
      </c>
      <c r="K99" s="65">
        <f>SUMPRODUCT(H99:J99,Tbl3.5!$B$13:$D$13)</f>
        <v>855.94856409916747</v>
      </c>
      <c r="L99" s="17"/>
      <c r="N99" s="24"/>
    </row>
    <row r="100" spans="1:14">
      <c r="A100" s="4">
        <v>40878</v>
      </c>
      <c r="B100" s="7">
        <f>VLOOKUP($A100,UIElg!$A$29:$K$136,11)*VLOOKUP($A100,UIBen!$A$29:$K$136,11)</f>
        <v>1173.8770554835396</v>
      </c>
      <c r="C100" s="7">
        <f>VLOOKUP($A100,UIElg!$A$29:$M$136,13)*VLOOKUP($A100,UIBen!$A$29:$M$136,13)</f>
        <v>0</v>
      </c>
      <c r="D100" s="7">
        <f>VLOOKUP($A100,SNAPElg!$A$29:$K$136,11)*VLOOKUP($A100,SNAPBen!$A$29:$K$136,11)</f>
        <v>323.82422919718721</v>
      </c>
      <c r="E100" s="7">
        <f>VLOOKUP($A100,MedicaidElgBen!$A$29:$M$136,11)*VLOOKUP($A100,MedicaidElgBen!$A$29:$M$136,13)</f>
        <v>357.99499046158439</v>
      </c>
      <c r="F100" s="7">
        <f>VLOOKUP($A100,OtherElgBen!$A$29:$M$136,11)*VLOOKUP($A100,OtherElgBen!$A$29:$M$136,13)</f>
        <v>233.64724974684938</v>
      </c>
      <c r="G100" s="8"/>
      <c r="H100" s="7">
        <f t="shared" si="3"/>
        <v>1153.4134078190946</v>
      </c>
      <c r="I100" s="7">
        <f t="shared" si="4"/>
        <v>536.63489202503956</v>
      </c>
      <c r="J100" s="7">
        <f t="shared" si="5"/>
        <v>414.51068173839417</v>
      </c>
      <c r="K100" s="65">
        <f>SUMPRODUCT(H100:J100,Tbl3.5!$B$13:$D$13)</f>
        <v>855.8409538364939</v>
      </c>
      <c r="L100" s="17"/>
      <c r="N100" s="24"/>
    </row>
    <row r="101" spans="1:14">
      <c r="A101" s="4">
        <v>40909</v>
      </c>
      <c r="B101" s="7">
        <f>VLOOKUP($A101,UIElg!$A$29:$K$136,11)*VLOOKUP($A101,UIBen!$A$29:$K$136,11)</f>
        <v>1173.8770554835396</v>
      </c>
      <c r="C101" s="7">
        <f>VLOOKUP($A101,UIElg!$A$29:$M$136,13)*VLOOKUP($A101,UIBen!$A$29:$M$136,13)</f>
        <v>0</v>
      </c>
      <c r="D101" s="7">
        <f>VLOOKUP($A101,SNAPElg!$A$29:$K$136,11)*VLOOKUP($A101,SNAPBen!$A$29:$K$136,11)</f>
        <v>323.09492705753564</v>
      </c>
      <c r="E101" s="7">
        <f>VLOOKUP($A101,MedicaidElgBen!$A$29:$M$136,11)*VLOOKUP($A101,MedicaidElgBen!$A$29:$M$136,13)</f>
        <v>357.99499046158439</v>
      </c>
      <c r="F101" s="7">
        <f>VLOOKUP($A101,OtherElgBen!$A$29:$M$136,11)*VLOOKUP($A101,OtherElgBen!$A$29:$M$136,13)</f>
        <v>233.64724974684938</v>
      </c>
      <c r="G101" s="8"/>
      <c r="H101" s="7">
        <f t="shared" si="3"/>
        <v>1153.0521290161814</v>
      </c>
      <c r="I101" s="7">
        <f t="shared" si="4"/>
        <v>536.32979593287519</v>
      </c>
      <c r="J101" s="7">
        <f t="shared" si="5"/>
        <v>414.14940293548113</v>
      </c>
      <c r="K101" s="65">
        <f>SUMPRODUCT(H101:J101,Tbl3.5!$B$13:$D$13)</f>
        <v>855.4846796772016</v>
      </c>
      <c r="L101" s="17"/>
      <c r="N101" s="24"/>
    </row>
    <row r="102" spans="1:14">
      <c r="A102" s="4">
        <v>40940</v>
      </c>
      <c r="B102" s="7">
        <f>VLOOKUP($A102,UIElg!$A$29:$K$136,11)*VLOOKUP($A102,UIBen!$A$29:$K$136,11)</f>
        <v>1173.8770554835396</v>
      </c>
      <c r="C102" s="7">
        <f>VLOOKUP($A102,UIElg!$A$29:$M$136,13)*VLOOKUP($A102,UIBen!$A$29:$M$136,13)</f>
        <v>0</v>
      </c>
      <c r="D102" s="7">
        <f>VLOOKUP($A102,SNAPElg!$A$29:$K$136,11)*VLOOKUP($A102,SNAPBen!$A$29:$K$136,11)</f>
        <v>322.09224860256813</v>
      </c>
      <c r="E102" s="7">
        <f>VLOOKUP($A102,MedicaidElgBen!$A$29:$M$136,11)*VLOOKUP($A102,MedicaidElgBen!$A$29:$M$136,13)</f>
        <v>357.99499046158439</v>
      </c>
      <c r="F102" s="7">
        <f>VLOOKUP($A102,OtherElgBen!$A$29:$M$136,11)*VLOOKUP($A102,OtherElgBen!$A$29:$M$136,13)</f>
        <v>233.64724974684938</v>
      </c>
      <c r="G102" s="8"/>
      <c r="H102" s="7">
        <f t="shared" si="3"/>
        <v>1152.5554261378786</v>
      </c>
      <c r="I102" s="7">
        <f t="shared" si="4"/>
        <v>535.91033565478779</v>
      </c>
      <c r="J102" s="7">
        <f t="shared" si="5"/>
        <v>413.65270005717838</v>
      </c>
      <c r="K102" s="65">
        <f>SUMPRODUCT(H102:J102,Tbl3.5!$B$13:$D$13)</f>
        <v>854.9948574153957</v>
      </c>
      <c r="L102" s="17"/>
      <c r="N102" s="24"/>
    </row>
    <row r="103" spans="1:14">
      <c r="A103" s="4">
        <v>40969</v>
      </c>
      <c r="B103" s="7">
        <f>VLOOKUP($A103,UIElg!$A$29:$K$136,11)*VLOOKUP($A103,UIBen!$A$29:$K$136,11)</f>
        <v>1173.8770554835396</v>
      </c>
      <c r="C103" s="7">
        <f>VLOOKUP($A103,UIElg!$A$29:$M$136,13)*VLOOKUP($A103,UIBen!$A$29:$M$136,13)</f>
        <v>0</v>
      </c>
      <c r="D103" s="7">
        <f>VLOOKUP($A103,SNAPElg!$A$29:$K$136,11)*VLOOKUP($A103,SNAPBen!$A$29:$K$136,11)</f>
        <v>322.09224860256813</v>
      </c>
      <c r="E103" s="7">
        <f>VLOOKUP($A103,MedicaidElgBen!$A$29:$M$136,11)*VLOOKUP($A103,MedicaidElgBen!$A$29:$M$136,13)</f>
        <v>357.99499046158439</v>
      </c>
      <c r="F103" s="7">
        <f>VLOOKUP($A103,OtherElgBen!$A$29:$M$136,11)*VLOOKUP($A103,OtherElgBen!$A$29:$M$136,13)</f>
        <v>233.64724974684938</v>
      </c>
      <c r="G103" s="8"/>
      <c r="H103" s="7">
        <f t="shared" si="3"/>
        <v>1152.5554261378786</v>
      </c>
      <c r="I103" s="7">
        <f t="shared" si="4"/>
        <v>535.91033565478779</v>
      </c>
      <c r="J103" s="7">
        <f t="shared" si="5"/>
        <v>413.65270005717838</v>
      </c>
      <c r="K103" s="65">
        <f>SUMPRODUCT(H103:J103,Tbl3.5!$B$13:$D$13)</f>
        <v>854.9948574153957</v>
      </c>
      <c r="L103" s="17"/>
      <c r="N103" s="24"/>
    </row>
    <row r="104" spans="1:14">
      <c r="A104" s="4">
        <v>41000</v>
      </c>
      <c r="B104" s="7">
        <f>VLOOKUP($A104,UIElg!$A$29:$K$136,11)*VLOOKUP($A104,UIBen!$A$29:$K$136,11)</f>
        <v>1173.8770554835396</v>
      </c>
      <c r="C104" s="7">
        <f>VLOOKUP($A104,UIElg!$A$29:$M$136,13)*VLOOKUP($A104,UIBen!$A$29:$M$136,13)</f>
        <v>0</v>
      </c>
      <c r="D104" s="7">
        <f>VLOOKUP($A104,SNAPElg!$A$29:$K$136,11)*VLOOKUP($A104,SNAPBen!$A$29:$K$136,11)</f>
        <v>322.09224860256813</v>
      </c>
      <c r="E104" s="7">
        <f>VLOOKUP($A104,MedicaidElgBen!$A$29:$M$136,11)*VLOOKUP($A104,MedicaidElgBen!$A$29:$M$136,13)</f>
        <v>357.99499046158439</v>
      </c>
      <c r="F104" s="7">
        <f>VLOOKUP($A104,OtherElgBen!$A$29:$M$136,11)*VLOOKUP($A104,OtherElgBen!$A$29:$M$136,13)</f>
        <v>233.64724974684938</v>
      </c>
      <c r="G104" s="8"/>
      <c r="H104" s="7">
        <f t="shared" si="3"/>
        <v>1152.5554261378786</v>
      </c>
      <c r="I104" s="7">
        <f t="shared" si="4"/>
        <v>535.91033565478779</v>
      </c>
      <c r="J104" s="7">
        <f t="shared" si="5"/>
        <v>413.65270005717838</v>
      </c>
      <c r="K104" s="65">
        <f>SUMPRODUCT(H104:J104,Tbl3.5!$B$13:$D$13)</f>
        <v>854.9948574153957</v>
      </c>
      <c r="L104" s="17"/>
      <c r="N104" s="24"/>
    </row>
    <row r="105" spans="1:14">
      <c r="A105" s="4">
        <v>41030</v>
      </c>
      <c r="B105" s="7">
        <f>VLOOKUP($A105,UIElg!$A$29:$K$136,11)*VLOOKUP($A105,UIBen!$A$29:$K$136,11)</f>
        <v>1173.8770554835396</v>
      </c>
      <c r="C105" s="7">
        <f>VLOOKUP($A105,UIElg!$A$29:$M$136,13)*VLOOKUP($A105,UIBen!$A$29:$M$136,13)</f>
        <v>0</v>
      </c>
      <c r="D105" s="7">
        <f>VLOOKUP($A105,SNAPElg!$A$29:$K$136,11)*VLOOKUP($A105,SNAPBen!$A$29:$K$136,11)</f>
        <v>322.09224860256813</v>
      </c>
      <c r="E105" s="7">
        <f>VLOOKUP($A105,MedicaidElgBen!$A$29:$M$136,11)*VLOOKUP($A105,MedicaidElgBen!$A$29:$M$136,13)</f>
        <v>357.99499046158439</v>
      </c>
      <c r="F105" s="7">
        <f>VLOOKUP($A105,OtherElgBen!$A$29:$M$136,11)*VLOOKUP($A105,OtherElgBen!$A$29:$M$136,13)</f>
        <v>233.64724974684938</v>
      </c>
      <c r="G105" s="8"/>
      <c r="H105" s="7">
        <f t="shared" si="3"/>
        <v>1152.5554261378786</v>
      </c>
      <c r="I105" s="7">
        <f t="shared" si="4"/>
        <v>535.91033565478779</v>
      </c>
      <c r="J105" s="7">
        <f t="shared" si="5"/>
        <v>413.65270005717838</v>
      </c>
      <c r="K105" s="65">
        <f>SUMPRODUCT(H105:J105,Tbl3.5!$B$13:$D$13)</f>
        <v>854.9948574153957</v>
      </c>
      <c r="L105" s="17"/>
      <c r="N105" s="24"/>
    </row>
    <row r="106" spans="1:14">
      <c r="A106" s="4">
        <v>41061</v>
      </c>
      <c r="B106" s="7">
        <f>VLOOKUP($A106,UIElg!$A$29:$K$136,11)*VLOOKUP($A106,UIBen!$A$29:$K$136,11)</f>
        <v>1159.8224314646627</v>
      </c>
      <c r="C106" s="7">
        <f>VLOOKUP($A106,UIElg!$A$29:$M$136,13)*VLOOKUP($A106,UIBen!$A$29:$M$136,13)</f>
        <v>0</v>
      </c>
      <c r="D106" s="7">
        <f>VLOOKUP($A106,SNAPElg!$A$29:$K$136,11)*VLOOKUP($A106,SNAPBen!$A$29:$K$136,11)</f>
        <v>322.09224860256813</v>
      </c>
      <c r="E106" s="7">
        <f>VLOOKUP($A106,MedicaidElgBen!$A$29:$M$136,11)*VLOOKUP($A106,MedicaidElgBen!$A$29:$M$136,13)</f>
        <v>357.99499046158439</v>
      </c>
      <c r="F106" s="7">
        <f>VLOOKUP($A106,OtherElgBen!$A$29:$M$136,11)*VLOOKUP($A106,OtherElgBen!$A$29:$M$136,13)</f>
        <v>233.64724974684938</v>
      </c>
      <c r="G106" s="8"/>
      <c r="H106" s="7">
        <f t="shared" si="3"/>
        <v>1143.7086734451022</v>
      </c>
      <c r="I106" s="7">
        <f t="shared" si="4"/>
        <v>535.91033565478779</v>
      </c>
      <c r="J106" s="7">
        <f t="shared" si="5"/>
        <v>413.65270005717838</v>
      </c>
      <c r="K106" s="65">
        <f>SUMPRODUCT(H106:J106,Tbl3.5!$B$13:$D$13)</f>
        <v>849.84113483998169</v>
      </c>
      <c r="L106" s="17"/>
      <c r="N106" s="24"/>
    </row>
    <row r="107" spans="1:14">
      <c r="A107" s="4">
        <v>41091</v>
      </c>
      <c r="B107" s="7">
        <f>VLOOKUP($A107,UIElg!$A$29:$K$136,11)*VLOOKUP($A107,UIBen!$A$29:$K$136,11)</f>
        <v>1159.8224314646627</v>
      </c>
      <c r="C107" s="7">
        <f>VLOOKUP($A107,UIElg!$A$29:$M$136,13)*VLOOKUP($A107,UIBen!$A$29:$M$136,13)</f>
        <v>0</v>
      </c>
      <c r="D107" s="7">
        <f>VLOOKUP($A107,SNAPElg!$A$29:$K$136,11)*VLOOKUP($A107,SNAPBen!$A$29:$K$136,11)</f>
        <v>322.09224860256813</v>
      </c>
      <c r="E107" s="7">
        <f>VLOOKUP($A107,MedicaidElgBen!$A$29:$M$136,11)*VLOOKUP($A107,MedicaidElgBen!$A$29:$M$136,13)</f>
        <v>357.99499046158439</v>
      </c>
      <c r="F107" s="7">
        <f>VLOOKUP($A107,OtherElgBen!$A$29:$M$136,11)*VLOOKUP($A107,OtherElgBen!$A$29:$M$136,13)</f>
        <v>233.64724974684938</v>
      </c>
      <c r="G107" s="8"/>
      <c r="H107" s="7">
        <f t="shared" si="3"/>
        <v>1143.7086734451022</v>
      </c>
      <c r="I107" s="7">
        <f t="shared" si="4"/>
        <v>535.91033565478779</v>
      </c>
      <c r="J107" s="7">
        <f t="shared" si="5"/>
        <v>413.65270005717838</v>
      </c>
      <c r="K107" s="65">
        <f>SUMPRODUCT(H107:J107,Tbl3.5!$B$13:$D$13)</f>
        <v>849.84113483998169</v>
      </c>
      <c r="L107" s="17"/>
      <c r="N107" s="24"/>
    </row>
    <row r="108" spans="1:14">
      <c r="A108" s="4">
        <v>41122</v>
      </c>
      <c r="B108" s="7">
        <f>VLOOKUP($A108,UIElg!$A$29:$K$136,11)*VLOOKUP($A108,UIBen!$A$29:$K$136,11)</f>
        <v>1159.8224314646627</v>
      </c>
      <c r="C108" s="7">
        <f>VLOOKUP($A108,UIElg!$A$29:$M$136,13)*VLOOKUP($A108,UIBen!$A$29:$M$136,13)</f>
        <v>0</v>
      </c>
      <c r="D108" s="7">
        <f>VLOOKUP($A108,SNAPElg!$A$29:$K$136,11)*VLOOKUP($A108,SNAPBen!$A$29:$K$136,11)</f>
        <v>322.09224860256813</v>
      </c>
      <c r="E108" s="7">
        <f>VLOOKUP($A108,MedicaidElgBen!$A$29:$M$136,11)*VLOOKUP($A108,MedicaidElgBen!$A$29:$M$136,13)</f>
        <v>357.99499046158439</v>
      </c>
      <c r="F108" s="7">
        <f>VLOOKUP($A108,OtherElgBen!$A$29:$M$136,11)*VLOOKUP($A108,OtherElgBen!$A$29:$M$136,13)</f>
        <v>233.64724974684938</v>
      </c>
      <c r="G108" s="8"/>
      <c r="H108" s="7">
        <f t="shared" si="3"/>
        <v>1143.7086734451022</v>
      </c>
      <c r="I108" s="7">
        <f t="shared" si="4"/>
        <v>535.91033565478779</v>
      </c>
      <c r="J108" s="7">
        <f t="shared" si="5"/>
        <v>413.65270005717838</v>
      </c>
      <c r="K108" s="65">
        <f>SUMPRODUCT(H108:J108,Tbl3.5!$B$13:$D$13)</f>
        <v>849.84113483998169</v>
      </c>
      <c r="L108" s="17"/>
      <c r="N108" s="24"/>
    </row>
    <row r="109" spans="1:14">
      <c r="A109" s="4">
        <v>41153</v>
      </c>
      <c r="B109" s="7">
        <f>VLOOKUP($A109,UIElg!$A$29:$K$136,11)*VLOOKUP($A109,UIBen!$A$29:$K$136,11)</f>
        <v>1144.7647225823018</v>
      </c>
      <c r="C109" s="7">
        <f>VLOOKUP($A109,UIElg!$A$29:$M$136,13)*VLOOKUP($A109,UIBen!$A$29:$M$136,13)</f>
        <v>0</v>
      </c>
      <c r="D109" s="7">
        <f>VLOOKUP($A109,SNAPElg!$A$29:$K$136,11)*VLOOKUP($A109,SNAPBen!$A$29:$K$136,11)</f>
        <v>322.09224860256813</v>
      </c>
      <c r="E109" s="7">
        <f>VLOOKUP($A109,MedicaidElgBen!$A$29:$M$136,11)*VLOOKUP($A109,MedicaidElgBen!$A$29:$M$136,13)</f>
        <v>357.99499046158439</v>
      </c>
      <c r="F109" s="7">
        <f>VLOOKUP($A109,OtherElgBen!$A$29:$M$136,11)*VLOOKUP($A109,OtherElgBen!$A$29:$M$136,13)</f>
        <v>233.64724974684938</v>
      </c>
      <c r="G109" s="8"/>
      <c r="H109" s="7">
        <f t="shared" si="3"/>
        <v>1134.2305240173303</v>
      </c>
      <c r="I109" s="7">
        <f t="shared" si="4"/>
        <v>535.91033565478779</v>
      </c>
      <c r="J109" s="7">
        <f t="shared" si="5"/>
        <v>413.65270005717838</v>
      </c>
      <c r="K109" s="65">
        <f>SUMPRODUCT(H109:J109,Tbl3.5!$B$13:$D$13)</f>
        <v>844.31958875687008</v>
      </c>
      <c r="L109" s="17"/>
      <c r="N109" s="24"/>
    </row>
    <row r="110" spans="1:14">
      <c r="A110" s="4">
        <v>41183</v>
      </c>
      <c r="B110" s="7">
        <f>VLOOKUP($A110,UIElg!$A$29:$K$136,11)*VLOOKUP($A110,UIBen!$A$29:$K$136,11)</f>
        <v>1144.7647225823018</v>
      </c>
      <c r="C110" s="7">
        <f>VLOOKUP($A110,UIElg!$A$29:$M$136,13)*VLOOKUP($A110,UIBen!$A$29:$M$136,13)</f>
        <v>0</v>
      </c>
      <c r="D110" s="7">
        <f>VLOOKUP($A110,SNAPElg!$A$29:$K$136,11)*VLOOKUP($A110,SNAPBen!$A$29:$K$136,11)</f>
        <v>314.63357450629087</v>
      </c>
      <c r="E110" s="7">
        <f>VLOOKUP($A110,MedicaidElgBen!$A$29:$M$136,11)*VLOOKUP($A110,MedicaidElgBen!$A$29:$M$136,13)</f>
        <v>357.99499046158439</v>
      </c>
      <c r="F110" s="7">
        <f>VLOOKUP($A110,OtherElgBen!$A$29:$M$136,11)*VLOOKUP($A110,OtherElgBen!$A$29:$M$136,13)</f>
        <v>233.64724974684938</v>
      </c>
      <c r="G110" s="8"/>
      <c r="H110" s="7">
        <f t="shared" si="3"/>
        <v>1130.5356756104563</v>
      </c>
      <c r="I110" s="7">
        <f t="shared" si="4"/>
        <v>532.7900756201899</v>
      </c>
      <c r="J110" s="7">
        <f t="shared" si="5"/>
        <v>409.95785165030463</v>
      </c>
      <c r="K110" s="65">
        <f>SUMPRODUCT(H110:J110,Tbl3.5!$B$13:$D$13)</f>
        <v>840.67592353417513</v>
      </c>
      <c r="L110" s="17"/>
      <c r="N110" s="24"/>
    </row>
    <row r="111" spans="1:14">
      <c r="A111" s="4">
        <v>41214</v>
      </c>
      <c r="B111" s="7">
        <f>VLOOKUP($A111,UIElg!$A$29:$K$136,11)*VLOOKUP($A111,UIBen!$A$29:$K$136,11)</f>
        <v>1144.7647225823018</v>
      </c>
      <c r="C111" s="7">
        <f>VLOOKUP($A111,UIElg!$A$29:$M$136,13)*VLOOKUP($A111,UIBen!$A$29:$M$136,13)</f>
        <v>0</v>
      </c>
      <c r="D111" s="7">
        <f>VLOOKUP($A111,SNAPElg!$A$29:$K$136,11)*VLOOKUP($A111,SNAPBen!$A$29:$K$136,11)</f>
        <v>314.63357450629087</v>
      </c>
      <c r="E111" s="7">
        <f>VLOOKUP($A111,MedicaidElgBen!$A$29:$M$136,11)*VLOOKUP($A111,MedicaidElgBen!$A$29:$M$136,13)</f>
        <v>357.99499046158439</v>
      </c>
      <c r="F111" s="7">
        <f>VLOOKUP($A111,OtherElgBen!$A$29:$M$136,11)*VLOOKUP($A111,OtherElgBen!$A$29:$M$136,13)</f>
        <v>233.64724974684938</v>
      </c>
      <c r="G111" s="8"/>
      <c r="H111" s="7">
        <f t="shared" si="3"/>
        <v>1130.5356756104563</v>
      </c>
      <c r="I111" s="7">
        <f t="shared" si="4"/>
        <v>532.7900756201899</v>
      </c>
      <c r="J111" s="7">
        <f t="shared" si="5"/>
        <v>409.95785165030463</v>
      </c>
      <c r="K111" s="65">
        <f>SUMPRODUCT(H111:J111,Tbl3.5!$B$13:$D$13)</f>
        <v>840.67592353417513</v>
      </c>
      <c r="L111" s="17"/>
      <c r="N111" s="24"/>
    </row>
    <row r="112" spans="1:14">
      <c r="A112" s="4">
        <v>41244</v>
      </c>
      <c r="B112" s="7">
        <f>VLOOKUP($A112,UIElg!$A$29:$K$136,11)*VLOOKUP($A112,UIBen!$A$29:$K$136,11)</f>
        <v>1144.7647225823018</v>
      </c>
      <c r="C112" s="7">
        <f>VLOOKUP($A112,UIElg!$A$29:$M$136,13)*VLOOKUP($A112,UIBen!$A$29:$M$136,13)</f>
        <v>0</v>
      </c>
      <c r="D112" s="7">
        <f>VLOOKUP($A112,SNAPElg!$A$29:$K$136,11)*VLOOKUP($A112,SNAPBen!$A$29:$K$136,11)</f>
        <v>314.63357450629087</v>
      </c>
      <c r="E112" s="7">
        <f>VLOOKUP($A112,MedicaidElgBen!$A$29:$M$136,11)*VLOOKUP($A112,MedicaidElgBen!$A$29:$M$136,13)</f>
        <v>357.99499046158439</v>
      </c>
      <c r="F112" s="7">
        <f>VLOOKUP($A112,OtherElgBen!$A$29:$M$136,11)*VLOOKUP($A112,OtherElgBen!$A$29:$M$136,13)</f>
        <v>233.64724974684938</v>
      </c>
      <c r="G112" s="8"/>
      <c r="H112" s="7">
        <f t="shared" si="3"/>
        <v>1130.5356756104563</v>
      </c>
      <c r="I112" s="7">
        <f t="shared" si="4"/>
        <v>532.7900756201899</v>
      </c>
      <c r="J112" s="7">
        <f t="shared" si="5"/>
        <v>409.95785165030463</v>
      </c>
      <c r="K112" s="65">
        <f>SUMPRODUCT(H112:J112,Tbl3.5!$B$13:$D$13)</f>
        <v>840.67592353417513</v>
      </c>
      <c r="L112" s="17"/>
      <c r="N112" s="24"/>
    </row>
    <row r="113" spans="1:14">
      <c r="A113" s="4">
        <v>41275</v>
      </c>
      <c r="B113" s="7">
        <f>VLOOKUP($A113,UIElg!$A$29:$K$136,11)*VLOOKUP($A113,UIBen!$A$29:$K$136,11)</f>
        <v>1054.2314482419029</v>
      </c>
      <c r="C113" s="7">
        <f>VLOOKUP($A113,UIElg!$A$29:$M$136,13)*VLOOKUP($A113,UIBen!$A$29:$M$136,13)</f>
        <v>0</v>
      </c>
      <c r="D113" s="7">
        <f>VLOOKUP($A113,SNAPElg!$A$29:$K$136,11)*VLOOKUP($A113,SNAPBen!$A$29:$K$136,11)</f>
        <v>314.63357450629087</v>
      </c>
      <c r="E113" s="7">
        <f>VLOOKUP($A113,MedicaidElgBen!$A$29:$M$136,11)*VLOOKUP($A113,MedicaidElgBen!$A$29:$M$136,13)</f>
        <v>357.99499046158439</v>
      </c>
      <c r="F113" s="7">
        <f>VLOOKUP($A113,OtherElgBen!$A$29:$M$136,11)*VLOOKUP($A113,OtherElgBen!$A$29:$M$136,13)</f>
        <v>233.64724974684938</v>
      </c>
      <c r="G113" s="8"/>
      <c r="H113" s="7">
        <f t="shared" si="3"/>
        <v>1073.5490577200696</v>
      </c>
      <c r="I113" s="7">
        <f t="shared" si="4"/>
        <v>532.7900756201899</v>
      </c>
      <c r="J113" s="7">
        <f t="shared" si="5"/>
        <v>409.95785165030463</v>
      </c>
      <c r="K113" s="65">
        <f>SUMPRODUCT(H113:J113,Tbl3.5!$B$13:$D$13)</f>
        <v>807.47806785567423</v>
      </c>
      <c r="L113" s="17"/>
      <c r="N113" s="24"/>
    </row>
    <row r="114" spans="1:14">
      <c r="A114" s="4">
        <v>41306</v>
      </c>
      <c r="B114" s="7">
        <f>VLOOKUP($A114,UIElg!$A$29:$K$136,11)*VLOOKUP($A114,UIBen!$A$29:$K$136,11)</f>
        <v>1054.2314482419029</v>
      </c>
      <c r="C114" s="7">
        <f>VLOOKUP($A114,UIElg!$A$29:$M$136,13)*VLOOKUP($A114,UIBen!$A$29:$M$136,13)</f>
        <v>0</v>
      </c>
      <c r="D114" s="7">
        <f>VLOOKUP($A114,SNAPElg!$A$29:$K$136,11)*VLOOKUP($A114,SNAPBen!$A$29:$K$136,11)</f>
        <v>314.63357450629087</v>
      </c>
      <c r="E114" s="7">
        <f>VLOOKUP($A114,MedicaidElgBen!$A$29:$M$136,11)*VLOOKUP($A114,MedicaidElgBen!$A$29:$M$136,13)</f>
        <v>357.99499046158439</v>
      </c>
      <c r="F114" s="7">
        <f>VLOOKUP($A114,OtherElgBen!$A$29:$M$136,11)*VLOOKUP($A114,OtherElgBen!$A$29:$M$136,13)</f>
        <v>233.64724974684938</v>
      </c>
      <c r="G114" s="8"/>
      <c r="H114" s="7">
        <f t="shared" si="3"/>
        <v>1073.5490577200696</v>
      </c>
      <c r="I114" s="7">
        <f t="shared" si="4"/>
        <v>532.7900756201899</v>
      </c>
      <c r="J114" s="7">
        <f t="shared" si="5"/>
        <v>409.95785165030463</v>
      </c>
      <c r="K114" s="65">
        <f>SUMPRODUCT(H114:J114,Tbl3.5!$B$13:$D$13)</f>
        <v>807.47806785567423</v>
      </c>
      <c r="L114" s="17"/>
      <c r="N114" s="24"/>
    </row>
    <row r="115" spans="1:14">
      <c r="A115" s="4">
        <v>41334</v>
      </c>
      <c r="B115" s="7">
        <f>VLOOKUP($A115,UIElg!$A$29:$K$136,11)*VLOOKUP($A115,UIBen!$A$29:$K$136,11)</f>
        <v>1054.2314482419029</v>
      </c>
      <c r="C115" s="7">
        <f>VLOOKUP($A115,UIElg!$A$29:$M$136,13)*VLOOKUP($A115,UIBen!$A$29:$M$136,13)</f>
        <v>0</v>
      </c>
      <c r="D115" s="7">
        <f>VLOOKUP($A115,SNAPElg!$A$29:$K$136,11)*VLOOKUP($A115,SNAPBen!$A$29:$K$136,11)</f>
        <v>314.63357450629087</v>
      </c>
      <c r="E115" s="7">
        <f>VLOOKUP($A115,MedicaidElgBen!$A$29:$M$136,11)*VLOOKUP($A115,MedicaidElgBen!$A$29:$M$136,13)</f>
        <v>357.99499046158439</v>
      </c>
      <c r="F115" s="7">
        <f>VLOOKUP($A115,OtherElgBen!$A$29:$M$136,11)*VLOOKUP($A115,OtherElgBen!$A$29:$M$136,13)</f>
        <v>233.64724974684938</v>
      </c>
      <c r="G115" s="8"/>
      <c r="H115" s="7">
        <f t="shared" si="3"/>
        <v>1073.5490577200696</v>
      </c>
      <c r="I115" s="7">
        <f t="shared" si="4"/>
        <v>532.7900756201899</v>
      </c>
      <c r="J115" s="7">
        <f t="shared" si="5"/>
        <v>409.95785165030463</v>
      </c>
      <c r="K115" s="65">
        <f>SUMPRODUCT(H115:J115,Tbl3.5!$B$13:$D$13)</f>
        <v>807.47806785567423</v>
      </c>
      <c r="L115" s="17"/>
      <c r="N115" s="24"/>
    </row>
    <row r="116" spans="1:14">
      <c r="A116" s="4">
        <v>41365</v>
      </c>
      <c r="B116" s="7">
        <f>VLOOKUP($A116,UIElg!$A$29:$K$136,11)*VLOOKUP($A116,UIBen!$A$29:$K$136,11)</f>
        <v>1054.2314482419029</v>
      </c>
      <c r="C116" s="7">
        <f>VLOOKUP($A116,UIElg!$A$29:$M$136,13)*VLOOKUP($A116,UIBen!$A$29:$M$136,13)</f>
        <v>0</v>
      </c>
      <c r="D116" s="7">
        <f>VLOOKUP($A116,SNAPElg!$A$29:$K$136,11)*VLOOKUP($A116,SNAPBen!$A$29:$K$136,11)</f>
        <v>314.63357450629087</v>
      </c>
      <c r="E116" s="7">
        <f>VLOOKUP($A116,MedicaidElgBen!$A$29:$M$136,11)*VLOOKUP($A116,MedicaidElgBen!$A$29:$M$136,13)</f>
        <v>357.99499046158439</v>
      </c>
      <c r="F116" s="7">
        <f>VLOOKUP($A116,OtherElgBen!$A$29:$M$136,11)*VLOOKUP($A116,OtherElgBen!$A$29:$M$136,13)</f>
        <v>233.64724974684938</v>
      </c>
      <c r="G116" s="8"/>
      <c r="H116" s="7">
        <f t="shared" si="3"/>
        <v>1073.5490577200696</v>
      </c>
      <c r="I116" s="7">
        <f t="shared" si="4"/>
        <v>532.7900756201899</v>
      </c>
      <c r="J116" s="7">
        <f t="shared" si="5"/>
        <v>409.95785165030463</v>
      </c>
      <c r="K116" s="65">
        <f>SUMPRODUCT(H116:J116,Tbl3.5!$B$13:$D$13)</f>
        <v>807.47806785567423</v>
      </c>
      <c r="L116" s="17"/>
      <c r="N116" s="24"/>
    </row>
    <row r="117" spans="1:14">
      <c r="A117" s="4">
        <v>41395</v>
      </c>
      <c r="B117" s="7">
        <f>VLOOKUP($A117,UIElg!$A$29:$K$136,11)*VLOOKUP($A117,UIBen!$A$29:$K$136,11)</f>
        <v>1054.2314482419029</v>
      </c>
      <c r="C117" s="7">
        <f>VLOOKUP($A117,UIElg!$A$29:$M$136,13)*VLOOKUP($A117,UIBen!$A$29:$M$136,13)</f>
        <v>0</v>
      </c>
      <c r="D117" s="7">
        <f>VLOOKUP($A117,SNAPElg!$A$29:$K$136,11)*VLOOKUP($A117,SNAPBen!$A$29:$K$136,11)</f>
        <v>314.63357450629087</v>
      </c>
      <c r="E117" s="7">
        <f>VLOOKUP($A117,MedicaidElgBen!$A$29:$M$136,11)*VLOOKUP($A117,MedicaidElgBen!$A$29:$M$136,13)</f>
        <v>357.99499046158439</v>
      </c>
      <c r="F117" s="7">
        <f>VLOOKUP($A117,OtherElgBen!$A$29:$M$136,11)*VLOOKUP($A117,OtherElgBen!$A$29:$M$136,13)</f>
        <v>233.64724974684938</v>
      </c>
      <c r="G117" s="8"/>
      <c r="H117" s="7">
        <f t="shared" si="3"/>
        <v>1073.5490577200696</v>
      </c>
      <c r="I117" s="7">
        <f t="shared" si="4"/>
        <v>532.7900756201899</v>
      </c>
      <c r="J117" s="7">
        <f t="shared" si="5"/>
        <v>409.95785165030463</v>
      </c>
      <c r="K117" s="65">
        <f>SUMPRODUCT(H117:J117,Tbl3.5!$B$13:$D$13)</f>
        <v>807.47806785567423</v>
      </c>
      <c r="L117" s="17"/>
      <c r="N117" s="24"/>
    </row>
    <row r="118" spans="1:14">
      <c r="A118" s="4">
        <v>41426</v>
      </c>
      <c r="B118" s="7">
        <f>VLOOKUP($A118,UIElg!$A$29:$K$136,11)*VLOOKUP($A118,UIBen!$A$29:$K$136,11)</f>
        <v>1054.2314482419029</v>
      </c>
      <c r="C118" s="7">
        <f>VLOOKUP($A118,UIElg!$A$29:$M$136,13)*VLOOKUP($A118,UIBen!$A$29:$M$136,13)</f>
        <v>0</v>
      </c>
      <c r="D118" s="7">
        <f>VLOOKUP($A118,SNAPElg!$A$29:$K$136,11)*VLOOKUP($A118,SNAPBen!$A$29:$K$136,11)</f>
        <v>314.63357450629087</v>
      </c>
      <c r="E118" s="7">
        <f>VLOOKUP($A118,MedicaidElgBen!$A$29:$M$136,11)*VLOOKUP($A118,MedicaidElgBen!$A$29:$M$136,13)</f>
        <v>357.99499046158439</v>
      </c>
      <c r="F118" s="7">
        <f>VLOOKUP($A118,OtherElgBen!$A$29:$M$136,11)*VLOOKUP($A118,OtherElgBen!$A$29:$M$136,13)</f>
        <v>233.64724974684938</v>
      </c>
      <c r="G118" s="8"/>
      <c r="H118" s="7">
        <f t="shared" si="3"/>
        <v>1073.5490577200696</v>
      </c>
      <c r="I118" s="7">
        <f t="shared" si="4"/>
        <v>532.7900756201899</v>
      </c>
      <c r="J118" s="7">
        <f t="shared" si="5"/>
        <v>409.95785165030463</v>
      </c>
      <c r="K118" s="65">
        <f>SUMPRODUCT(H118:J118,Tbl3.5!$B$13:$D$13)</f>
        <v>807.47806785567423</v>
      </c>
      <c r="L118" s="17"/>
      <c r="N118" s="24"/>
    </row>
    <row r="119" spans="1:14">
      <c r="A119" s="4">
        <v>41456</v>
      </c>
      <c r="B119" s="7">
        <f>VLOOKUP($A119,UIElg!$A$29:$K$136,11)*VLOOKUP($A119,UIBen!$A$29:$K$136,11)</f>
        <v>1054.2314482419029</v>
      </c>
      <c r="C119" s="7">
        <f>VLOOKUP($A119,UIElg!$A$29:$M$136,13)*VLOOKUP($A119,UIBen!$A$29:$M$136,13)</f>
        <v>0</v>
      </c>
      <c r="D119" s="7">
        <f>VLOOKUP($A119,SNAPElg!$A$29:$K$136,11)*VLOOKUP($A119,SNAPBen!$A$29:$K$136,11)</f>
        <v>314.63357450629087</v>
      </c>
      <c r="E119" s="7">
        <f>VLOOKUP($A119,MedicaidElgBen!$A$29:$M$136,11)*VLOOKUP($A119,MedicaidElgBen!$A$29:$M$136,13)</f>
        <v>357.99499046158439</v>
      </c>
      <c r="F119" s="7">
        <f>VLOOKUP($A119,OtherElgBen!$A$29:$M$136,11)*VLOOKUP($A119,OtherElgBen!$A$29:$M$136,13)</f>
        <v>233.64724974684938</v>
      </c>
      <c r="G119" s="8"/>
      <c r="H119" s="7">
        <f t="shared" si="3"/>
        <v>1073.5490577200696</v>
      </c>
      <c r="I119" s="7">
        <f t="shared" si="4"/>
        <v>532.7900756201899</v>
      </c>
      <c r="J119" s="7">
        <f t="shared" si="5"/>
        <v>409.95785165030463</v>
      </c>
      <c r="K119" s="65">
        <f>SUMPRODUCT(H119:J119,Tbl3.5!$B$13:$D$13)</f>
        <v>807.47806785567423</v>
      </c>
      <c r="L119" s="17"/>
      <c r="N119" s="24"/>
    </row>
    <row r="120" spans="1:14">
      <c r="A120" s="4">
        <v>41487</v>
      </c>
      <c r="B120" s="7">
        <f>VLOOKUP($A120,UIElg!$A$29:$K$136,11)*VLOOKUP($A120,UIBen!$A$29:$K$136,11)</f>
        <v>1054.2314482419029</v>
      </c>
      <c r="C120" s="7">
        <f>VLOOKUP($A120,UIElg!$A$29:$M$136,13)*VLOOKUP($A120,UIBen!$A$29:$M$136,13)</f>
        <v>0</v>
      </c>
      <c r="D120" s="7">
        <f>VLOOKUP($A120,SNAPElg!$A$29:$K$136,11)*VLOOKUP($A120,SNAPBen!$A$29:$K$136,11)</f>
        <v>314.63357450629087</v>
      </c>
      <c r="E120" s="7">
        <f>VLOOKUP($A120,MedicaidElgBen!$A$29:$M$136,11)*VLOOKUP($A120,MedicaidElgBen!$A$29:$M$136,13)</f>
        <v>357.99499046158439</v>
      </c>
      <c r="F120" s="7">
        <f>VLOOKUP($A120,OtherElgBen!$A$29:$M$136,11)*VLOOKUP($A120,OtherElgBen!$A$29:$M$136,13)</f>
        <v>233.64724974684938</v>
      </c>
      <c r="G120" s="8"/>
      <c r="H120" s="7">
        <f t="shared" si="3"/>
        <v>1073.5490577200696</v>
      </c>
      <c r="I120" s="7">
        <f t="shared" si="4"/>
        <v>532.7900756201899</v>
      </c>
      <c r="J120" s="7">
        <f t="shared" si="5"/>
        <v>409.95785165030463</v>
      </c>
      <c r="K120" s="65">
        <f>SUMPRODUCT(H120:J120,Tbl3.5!$B$13:$D$13)</f>
        <v>807.47806785567423</v>
      </c>
      <c r="L120" s="17"/>
      <c r="N120" s="24"/>
    </row>
    <row r="121" spans="1:14">
      <c r="A121" s="4">
        <v>41518</v>
      </c>
      <c r="B121" s="7">
        <f>VLOOKUP($A121,UIElg!$A$29:$K$136,11)*VLOOKUP($A121,UIBen!$A$29:$K$136,11)</f>
        <v>1054.2314482419029</v>
      </c>
      <c r="C121" s="7">
        <f>VLOOKUP($A121,UIElg!$A$29:$M$136,13)*VLOOKUP($A121,UIBen!$A$29:$M$136,13)</f>
        <v>0</v>
      </c>
      <c r="D121" s="7">
        <f>VLOOKUP($A121,SNAPElg!$A$29:$K$136,11)*VLOOKUP($A121,SNAPBen!$A$29:$K$136,11)</f>
        <v>314.63357450629087</v>
      </c>
      <c r="E121" s="7">
        <f>VLOOKUP($A121,MedicaidElgBen!$A$29:$M$136,11)*VLOOKUP($A121,MedicaidElgBen!$A$29:$M$136,13)</f>
        <v>357.99499046158439</v>
      </c>
      <c r="F121" s="7">
        <f>VLOOKUP($A121,OtherElgBen!$A$29:$M$136,11)*VLOOKUP($A121,OtherElgBen!$A$29:$M$136,13)</f>
        <v>233.64724974684938</v>
      </c>
      <c r="G121" s="8"/>
      <c r="H121" s="7">
        <f t="shared" si="3"/>
        <v>1073.5490577200696</v>
      </c>
      <c r="I121" s="7">
        <f t="shared" si="4"/>
        <v>532.7900756201899</v>
      </c>
      <c r="J121" s="7">
        <f t="shared" si="5"/>
        <v>409.95785165030463</v>
      </c>
      <c r="K121" s="65">
        <f>SUMPRODUCT(H121:J121,Tbl3.5!$B$13:$D$13)</f>
        <v>807.47806785567423</v>
      </c>
      <c r="L121" s="17"/>
      <c r="N121" s="24"/>
    </row>
    <row r="122" spans="1:14">
      <c r="A122" s="4">
        <v>41548</v>
      </c>
      <c r="B122" s="7">
        <f>VLOOKUP($A122,UIElg!$A$29:$K$136,11)*VLOOKUP($A122,UIBen!$A$29:$K$136,11)</f>
        <v>1054.2314482419029</v>
      </c>
      <c r="C122" s="7">
        <f>VLOOKUP($A122,UIElg!$A$29:$M$136,13)*VLOOKUP($A122,UIBen!$A$29:$M$136,13)</f>
        <v>0</v>
      </c>
      <c r="D122" s="7">
        <f>VLOOKUP($A122,SNAPElg!$A$29:$K$136,11)*VLOOKUP($A122,SNAPBen!$A$29:$K$136,11)</f>
        <v>314.63357450629087</v>
      </c>
      <c r="E122" s="7">
        <f>VLOOKUP($A122,MedicaidElgBen!$A$29:$M$136,11)*VLOOKUP($A122,MedicaidElgBen!$A$29:$M$136,13)</f>
        <v>357.99499046158439</v>
      </c>
      <c r="F122" s="7">
        <f>VLOOKUP($A122,OtherElgBen!$A$29:$M$136,11)*VLOOKUP($A122,OtherElgBen!$A$29:$M$136,13)</f>
        <v>233.64724974684938</v>
      </c>
      <c r="G122" s="8"/>
      <c r="H122" s="7">
        <f t="shared" si="3"/>
        <v>1073.5490577200696</v>
      </c>
      <c r="I122" s="7">
        <f t="shared" si="4"/>
        <v>532.7900756201899</v>
      </c>
      <c r="J122" s="7">
        <f t="shared" si="5"/>
        <v>409.95785165030463</v>
      </c>
      <c r="K122" s="65">
        <f>SUMPRODUCT(H122:J122,Tbl3.5!$B$13:$D$13)</f>
        <v>807.47806785567423</v>
      </c>
      <c r="L122" s="17"/>
      <c r="N122" s="24"/>
    </row>
    <row r="123" spans="1:14">
      <c r="A123" s="4">
        <v>41579</v>
      </c>
      <c r="B123" s="7">
        <f>VLOOKUP($A123,UIElg!$A$29:$K$136,11)*VLOOKUP($A123,UIBen!$A$29:$K$136,11)</f>
        <v>1054.2314482419029</v>
      </c>
      <c r="C123" s="7">
        <f>VLOOKUP($A123,UIElg!$A$29:$M$136,13)*VLOOKUP($A123,UIBen!$A$29:$M$136,13)</f>
        <v>0</v>
      </c>
      <c r="D123" s="7">
        <f>VLOOKUP($A123,SNAPElg!$A$29:$K$136,11)*VLOOKUP($A123,SNAPBen!$A$29:$K$136,11)</f>
        <v>314.63357450629087</v>
      </c>
      <c r="E123" s="7">
        <f>VLOOKUP($A123,MedicaidElgBen!$A$29:$M$136,11)*VLOOKUP($A123,MedicaidElgBen!$A$29:$M$136,13)</f>
        <v>357.99499046158439</v>
      </c>
      <c r="F123" s="7">
        <f>VLOOKUP($A123,OtherElgBen!$A$29:$M$136,11)*VLOOKUP($A123,OtherElgBen!$A$29:$M$136,13)</f>
        <v>233.64724974684938</v>
      </c>
      <c r="G123" s="8"/>
      <c r="H123" s="7">
        <f t="shared" si="3"/>
        <v>1073.5490577200696</v>
      </c>
      <c r="I123" s="7">
        <f t="shared" si="4"/>
        <v>532.7900756201899</v>
      </c>
      <c r="J123" s="7">
        <f t="shared" si="5"/>
        <v>409.95785165030463</v>
      </c>
      <c r="K123" s="65">
        <f>SUMPRODUCT(H123:J123,Tbl3.5!$B$13:$D$13)</f>
        <v>807.47806785567423</v>
      </c>
      <c r="L123" s="17"/>
      <c r="N123" s="24"/>
    </row>
    <row r="124" spans="1:14">
      <c r="A124" s="4">
        <v>41609</v>
      </c>
      <c r="B124" s="7">
        <f>VLOOKUP($A124,UIElg!$A$29:$K$136,11)*VLOOKUP($A124,UIBen!$A$29:$K$136,11)</f>
        <v>1054.2314482419029</v>
      </c>
      <c r="C124" s="7">
        <f>VLOOKUP($A124,UIElg!$A$29:$M$136,13)*VLOOKUP($A124,UIBen!$A$29:$M$136,13)</f>
        <v>0</v>
      </c>
      <c r="D124" s="7">
        <f>VLOOKUP($A124,SNAPElg!$A$29:$K$136,11)*VLOOKUP($A124,SNAPBen!$A$29:$K$136,11)</f>
        <v>314.63357450629087</v>
      </c>
      <c r="E124" s="7">
        <f>VLOOKUP($A124,MedicaidElgBen!$A$29:$M$136,11)*VLOOKUP($A124,MedicaidElgBen!$A$29:$M$136,13)</f>
        <v>357.99499046158439</v>
      </c>
      <c r="F124" s="7">
        <f>VLOOKUP($A124,OtherElgBen!$A$29:$M$136,11)*VLOOKUP($A124,OtherElgBen!$A$29:$M$136,13)</f>
        <v>233.64724974684938</v>
      </c>
      <c r="G124" s="8"/>
      <c r="H124" s="7">
        <f t="shared" si="3"/>
        <v>1073.5490577200696</v>
      </c>
      <c r="I124" s="7">
        <f t="shared" si="4"/>
        <v>532.7900756201899</v>
      </c>
      <c r="J124" s="7">
        <f t="shared" si="5"/>
        <v>409.95785165030463</v>
      </c>
      <c r="K124" s="65">
        <f>SUMPRODUCT(H124:J124,Tbl3.5!$B$13:$D$13)</f>
        <v>807.47806785567423</v>
      </c>
      <c r="L124" s="17"/>
      <c r="N124" s="24"/>
    </row>
    <row r="125" spans="1:14">
      <c r="A125" s="4">
        <v>41640</v>
      </c>
      <c r="B125" s="7">
        <f>VLOOKUP($A125,UIElg!$A$29:$K$136,11)*VLOOKUP($A125,UIBen!$A$29:$K$136,11)</f>
        <v>832.27900713356269</v>
      </c>
      <c r="C125" s="7">
        <f>VLOOKUP($A125,UIElg!$A$29:$M$136,13)*VLOOKUP($A125,UIBen!$A$29:$M$136,13)</f>
        <v>0</v>
      </c>
      <c r="D125" s="7">
        <f>VLOOKUP($A125,SNAPElg!$A$29:$K$136,11)*VLOOKUP($A125,SNAPBen!$A$29:$K$136,11)</f>
        <v>314.63357450629087</v>
      </c>
      <c r="E125" s="7">
        <f>VLOOKUP($A125,MedicaidElgBen!$A$29:$M$136,11)*VLOOKUP($A125,MedicaidElgBen!$A$29:$M$136,13)</f>
        <v>456.08561784805852</v>
      </c>
      <c r="F125" s="7">
        <f>VLOOKUP($A125,OtherElgBen!$A$29:$M$136,11)*VLOOKUP($A125,OtherElgBen!$A$29:$M$136,13)</f>
        <v>233.64724974684938</v>
      </c>
      <c r="G125" s="8"/>
      <c r="H125" s="7">
        <f t="shared" si="3"/>
        <v>979.74022443468982</v>
      </c>
      <c r="I125" s="7">
        <f t="shared" si="4"/>
        <v>578.69030558731879</v>
      </c>
      <c r="J125" s="7">
        <f t="shared" si="5"/>
        <v>455.85808161743353</v>
      </c>
      <c r="K125" s="65">
        <f>SUMPRODUCT(H125:J125,Tbl3.5!$B$13:$D$13)</f>
        <v>771.99004404440552</v>
      </c>
      <c r="L125" s="17"/>
      <c r="N125" s="24"/>
    </row>
    <row r="126" spans="1:14">
      <c r="A126" s="4">
        <v>41671</v>
      </c>
      <c r="B126" s="7">
        <f>VLOOKUP($A126,UIElg!$A$29:$K$136,11)*VLOOKUP($A126,UIBen!$A$29:$K$136,11)</f>
        <v>832.27900713356269</v>
      </c>
      <c r="C126" s="7">
        <f>VLOOKUP($A126,UIElg!$A$29:$M$136,13)*VLOOKUP($A126,UIBen!$A$29:$M$136,13)</f>
        <v>0</v>
      </c>
      <c r="D126" s="7">
        <f>VLOOKUP($A126,SNAPElg!$A$29:$K$136,11)*VLOOKUP($A126,SNAPBen!$A$29:$K$136,11)</f>
        <v>314.63357450629087</v>
      </c>
      <c r="E126" s="7">
        <f>VLOOKUP($A126,MedicaidElgBen!$A$29:$M$136,11)*VLOOKUP($A126,MedicaidElgBen!$A$29:$M$136,13)</f>
        <v>456.08561784805852</v>
      </c>
      <c r="F126" s="7">
        <f>VLOOKUP($A126,OtherElgBen!$A$29:$M$136,11)*VLOOKUP($A126,OtherElgBen!$A$29:$M$136,13)</f>
        <v>233.64724974684938</v>
      </c>
      <c r="G126" s="8"/>
      <c r="H126" s="7">
        <f t="shared" si="3"/>
        <v>979.74022443468982</v>
      </c>
      <c r="I126" s="7">
        <f t="shared" si="4"/>
        <v>578.69030558731879</v>
      </c>
      <c r="J126" s="7">
        <f t="shared" si="5"/>
        <v>455.85808161743353</v>
      </c>
      <c r="K126" s="65">
        <f>SUMPRODUCT(H126:J126,Tbl3.5!$B$13:$D$13)</f>
        <v>771.99004404440552</v>
      </c>
      <c r="L126" s="17"/>
      <c r="N126" s="24"/>
    </row>
    <row r="127" spans="1:14">
      <c r="A127" s="4">
        <v>41699</v>
      </c>
      <c r="B127" s="7">
        <f>VLOOKUP($A127,UIElg!$A$29:$K$136,11)*VLOOKUP($A127,UIBen!$A$29:$K$136,11)</f>
        <v>832.27900713356269</v>
      </c>
      <c r="C127" s="7">
        <f>VLOOKUP($A127,UIElg!$A$29:$M$136,13)*VLOOKUP($A127,UIBen!$A$29:$M$136,13)</f>
        <v>0</v>
      </c>
      <c r="D127" s="7">
        <f>VLOOKUP($A127,SNAPElg!$A$29:$K$136,11)*VLOOKUP($A127,SNAPBen!$A$29:$K$136,11)</f>
        <v>314.63357450629087</v>
      </c>
      <c r="E127" s="7">
        <f>VLOOKUP($A127,MedicaidElgBen!$A$29:$M$136,11)*VLOOKUP($A127,MedicaidElgBen!$A$29:$M$136,13)</f>
        <v>456.08561784805852</v>
      </c>
      <c r="F127" s="7">
        <f>VLOOKUP($A127,OtherElgBen!$A$29:$M$136,11)*VLOOKUP($A127,OtherElgBen!$A$29:$M$136,13)</f>
        <v>233.64724974684938</v>
      </c>
      <c r="G127" s="8"/>
      <c r="H127" s="7">
        <f t="shared" si="3"/>
        <v>979.74022443468982</v>
      </c>
      <c r="I127" s="7">
        <f t="shared" si="4"/>
        <v>578.69030558731879</v>
      </c>
      <c r="J127" s="7">
        <f t="shared" si="5"/>
        <v>455.85808161743353</v>
      </c>
      <c r="K127" s="65">
        <f>SUMPRODUCT(H127:J127,Tbl3.5!$B$13:$D$13)</f>
        <v>771.99004404440552</v>
      </c>
      <c r="L127" s="17"/>
      <c r="N127" s="24"/>
    </row>
    <row r="128" spans="1:14">
      <c r="A128" s="4">
        <v>41730</v>
      </c>
      <c r="B128" s="7">
        <f>VLOOKUP($A128,UIElg!$A$29:$K$136,11)*VLOOKUP($A128,UIBen!$A$29:$K$136,11)</f>
        <v>832.27900713356269</v>
      </c>
      <c r="C128" s="7">
        <f>VLOOKUP($A128,UIElg!$A$29:$M$136,13)*VLOOKUP($A128,UIBen!$A$29:$M$136,13)</f>
        <v>0</v>
      </c>
      <c r="D128" s="7">
        <f>VLOOKUP($A128,SNAPElg!$A$29:$K$136,11)*VLOOKUP($A128,SNAPBen!$A$29:$K$136,11)</f>
        <v>314.63357450629087</v>
      </c>
      <c r="E128" s="7">
        <f>VLOOKUP($A128,MedicaidElgBen!$A$29:$M$136,11)*VLOOKUP($A128,MedicaidElgBen!$A$29:$M$136,13)</f>
        <v>456.08561784805852</v>
      </c>
      <c r="F128" s="7">
        <f>VLOOKUP($A128,OtherElgBen!$A$29:$M$136,11)*VLOOKUP($A128,OtherElgBen!$A$29:$M$136,13)</f>
        <v>233.64724974684938</v>
      </c>
      <c r="G128" s="8"/>
      <c r="H128" s="7">
        <f t="shared" si="3"/>
        <v>979.74022443468982</v>
      </c>
      <c r="I128" s="7">
        <f t="shared" si="4"/>
        <v>578.69030558731879</v>
      </c>
      <c r="J128" s="7">
        <f t="shared" si="5"/>
        <v>455.85808161743353</v>
      </c>
      <c r="K128" s="65">
        <f>SUMPRODUCT(H128:J128,Tbl3.5!$B$13:$D$13)</f>
        <v>771.99004404440552</v>
      </c>
      <c r="L128" s="17"/>
      <c r="N128" s="24"/>
    </row>
    <row r="129" spans="1:14">
      <c r="A129" s="4">
        <v>41760</v>
      </c>
      <c r="B129" s="7">
        <f>VLOOKUP($A129,UIElg!$A$29:$K$136,11)*VLOOKUP($A129,UIBen!$A$29:$K$136,11)</f>
        <v>832.27900713356269</v>
      </c>
      <c r="C129" s="7">
        <f>VLOOKUP($A129,UIElg!$A$29:$M$136,13)*VLOOKUP($A129,UIBen!$A$29:$M$136,13)</f>
        <v>0</v>
      </c>
      <c r="D129" s="7">
        <f>VLOOKUP($A129,SNAPElg!$A$29:$K$136,11)*VLOOKUP($A129,SNAPBen!$A$29:$K$136,11)</f>
        <v>314.63357450629087</v>
      </c>
      <c r="E129" s="7">
        <f>VLOOKUP($A129,MedicaidElgBen!$A$29:$M$136,11)*VLOOKUP($A129,MedicaidElgBen!$A$29:$M$136,13)</f>
        <v>456.08561784805852</v>
      </c>
      <c r="F129" s="7">
        <f>VLOOKUP($A129,OtherElgBen!$A$29:$M$136,11)*VLOOKUP($A129,OtherElgBen!$A$29:$M$136,13)</f>
        <v>233.64724974684938</v>
      </c>
      <c r="G129" s="8"/>
      <c r="H129" s="7">
        <f t="shared" si="3"/>
        <v>979.74022443468982</v>
      </c>
      <c r="I129" s="7">
        <f t="shared" si="4"/>
        <v>578.69030558731879</v>
      </c>
      <c r="J129" s="7">
        <f t="shared" si="5"/>
        <v>455.85808161743353</v>
      </c>
      <c r="K129" s="65">
        <f>SUMPRODUCT(H129:J129,Tbl3.5!$B$13:$D$13)</f>
        <v>771.99004404440552</v>
      </c>
      <c r="L129" s="17"/>
      <c r="N129" s="24"/>
    </row>
    <row r="130" spans="1:14">
      <c r="A130" s="4">
        <v>41791</v>
      </c>
      <c r="B130" s="7">
        <f>VLOOKUP($A130,UIElg!$A$29:$K$136,11)*VLOOKUP($A130,UIBen!$A$29:$K$136,11)</f>
        <v>832.27900713356269</v>
      </c>
      <c r="C130" s="7">
        <f>VLOOKUP($A130,UIElg!$A$29:$M$136,13)*VLOOKUP($A130,UIBen!$A$29:$M$136,13)</f>
        <v>0</v>
      </c>
      <c r="D130" s="7">
        <f>VLOOKUP($A130,SNAPElg!$A$29:$K$136,11)*VLOOKUP($A130,SNAPBen!$A$29:$K$136,11)</f>
        <v>314.63357450629087</v>
      </c>
      <c r="E130" s="7">
        <f>VLOOKUP($A130,MedicaidElgBen!$A$29:$M$136,11)*VLOOKUP($A130,MedicaidElgBen!$A$29:$M$136,13)</f>
        <v>456.08561784805852</v>
      </c>
      <c r="F130" s="7">
        <f>VLOOKUP($A130,OtherElgBen!$A$29:$M$136,11)*VLOOKUP($A130,OtherElgBen!$A$29:$M$136,13)</f>
        <v>233.64724974684938</v>
      </c>
      <c r="G130" s="8"/>
      <c r="H130" s="7">
        <f t="shared" si="3"/>
        <v>979.74022443468982</v>
      </c>
      <c r="I130" s="7">
        <f t="shared" si="4"/>
        <v>578.69030558731879</v>
      </c>
      <c r="J130" s="7">
        <f t="shared" si="5"/>
        <v>455.85808161743353</v>
      </c>
      <c r="K130" s="65">
        <f>SUMPRODUCT(H130:J130,Tbl3.5!$B$13:$D$13)</f>
        <v>771.99004404440552</v>
      </c>
      <c r="L130" s="17"/>
      <c r="N130" s="24"/>
    </row>
    <row r="131" spans="1:14">
      <c r="A131" s="4">
        <v>41821</v>
      </c>
      <c r="B131" s="7">
        <f>VLOOKUP($A131,UIElg!$A$29:$K$136,11)*VLOOKUP($A131,UIBen!$A$29:$K$136,11)</f>
        <v>832.27900713356269</v>
      </c>
      <c r="C131" s="7">
        <f>VLOOKUP($A131,UIElg!$A$29:$M$136,13)*VLOOKUP($A131,UIBen!$A$29:$M$136,13)</f>
        <v>0</v>
      </c>
      <c r="D131" s="7">
        <f>VLOOKUP($A131,SNAPElg!$A$29:$K$136,11)*VLOOKUP($A131,SNAPBen!$A$29:$K$136,11)</f>
        <v>314.63357450629087</v>
      </c>
      <c r="E131" s="7">
        <f>VLOOKUP($A131,MedicaidElgBen!$A$29:$M$136,11)*VLOOKUP($A131,MedicaidElgBen!$A$29:$M$136,13)</f>
        <v>456.08561784805852</v>
      </c>
      <c r="F131" s="7">
        <f>VLOOKUP($A131,OtherElgBen!$A$29:$M$136,11)*VLOOKUP($A131,OtherElgBen!$A$29:$M$136,13)</f>
        <v>233.64724974684938</v>
      </c>
      <c r="G131" s="8"/>
      <c r="H131" s="7">
        <f t="shared" si="3"/>
        <v>979.74022443468982</v>
      </c>
      <c r="I131" s="7">
        <f t="shared" si="4"/>
        <v>578.69030558731879</v>
      </c>
      <c r="J131" s="7">
        <f t="shared" si="5"/>
        <v>455.85808161743353</v>
      </c>
      <c r="K131" s="65">
        <f>SUMPRODUCT(H131:J131,Tbl3.5!$B$13:$D$13)</f>
        <v>771.99004404440552</v>
      </c>
      <c r="L131" s="17"/>
      <c r="N131" s="24"/>
    </row>
    <row r="132" spans="1:14">
      <c r="A132" s="4">
        <v>41852</v>
      </c>
      <c r="B132" s="7">
        <f>VLOOKUP($A132,UIElg!$A$29:$K$136,11)*VLOOKUP($A132,UIBen!$A$29:$K$136,11)</f>
        <v>832.27900713356269</v>
      </c>
      <c r="C132" s="7">
        <f>VLOOKUP($A132,UIElg!$A$29:$M$136,13)*VLOOKUP($A132,UIBen!$A$29:$M$136,13)</f>
        <v>0</v>
      </c>
      <c r="D132" s="7">
        <f>VLOOKUP($A132,SNAPElg!$A$29:$K$136,11)*VLOOKUP($A132,SNAPBen!$A$29:$K$136,11)</f>
        <v>314.63357450629087</v>
      </c>
      <c r="E132" s="7">
        <f>VLOOKUP($A132,MedicaidElgBen!$A$29:$M$136,11)*VLOOKUP($A132,MedicaidElgBen!$A$29:$M$136,13)</f>
        <v>456.08561784805852</v>
      </c>
      <c r="F132" s="7">
        <f>VLOOKUP($A132,OtherElgBen!$A$29:$M$136,11)*VLOOKUP($A132,OtherElgBen!$A$29:$M$136,13)</f>
        <v>233.64724974684938</v>
      </c>
      <c r="G132" s="8"/>
      <c r="H132" s="7">
        <f t="shared" si="3"/>
        <v>979.74022443468982</v>
      </c>
      <c r="I132" s="7">
        <f t="shared" si="4"/>
        <v>578.69030558731879</v>
      </c>
      <c r="J132" s="7">
        <f t="shared" si="5"/>
        <v>455.85808161743353</v>
      </c>
      <c r="K132" s="65">
        <f>SUMPRODUCT(H132:J132,Tbl3.5!$B$13:$D$13)</f>
        <v>771.99004404440552</v>
      </c>
      <c r="L132" s="17"/>
      <c r="N132" s="24"/>
    </row>
    <row r="133" spans="1:14">
      <c r="A133" s="4">
        <v>41883</v>
      </c>
      <c r="B133" s="7">
        <f>VLOOKUP($A133,UIElg!$A$29:$K$136,11)*VLOOKUP($A133,UIBen!$A$29:$K$136,11)</f>
        <v>832.27900713356269</v>
      </c>
      <c r="C133" s="7">
        <f>VLOOKUP($A133,UIElg!$A$29:$M$136,13)*VLOOKUP($A133,UIBen!$A$29:$M$136,13)</f>
        <v>0</v>
      </c>
      <c r="D133" s="7">
        <f>VLOOKUP($A133,SNAPElg!$A$29:$K$136,11)*VLOOKUP($A133,SNAPBen!$A$29:$K$136,11)</f>
        <v>314.63357450629087</v>
      </c>
      <c r="E133" s="7">
        <f>VLOOKUP($A133,MedicaidElgBen!$A$29:$M$136,11)*VLOOKUP($A133,MedicaidElgBen!$A$29:$M$136,13)</f>
        <v>456.08561784805852</v>
      </c>
      <c r="F133" s="7">
        <f>VLOOKUP($A133,OtherElgBen!$A$29:$M$136,11)*VLOOKUP($A133,OtherElgBen!$A$29:$M$136,13)</f>
        <v>233.64724974684938</v>
      </c>
      <c r="G133" s="8"/>
      <c r="H133" s="7">
        <f t="shared" si="3"/>
        <v>979.74022443468982</v>
      </c>
      <c r="I133" s="7">
        <f t="shared" si="4"/>
        <v>578.69030558731879</v>
      </c>
      <c r="J133" s="7">
        <f t="shared" si="5"/>
        <v>455.85808161743353</v>
      </c>
      <c r="K133" s="65">
        <f>SUMPRODUCT(H133:J133,Tbl3.5!$B$13:$D$13)</f>
        <v>771.99004404440552</v>
      </c>
      <c r="L133" s="17"/>
      <c r="N133" s="24"/>
    </row>
    <row r="134" spans="1:14">
      <c r="A134" s="4">
        <v>41913</v>
      </c>
      <c r="B134" s="7">
        <f>VLOOKUP($A134,UIElg!$A$29:$K$136,11)*VLOOKUP($A134,UIBen!$A$29:$K$136,11)</f>
        <v>832.27900713356269</v>
      </c>
      <c r="C134" s="7">
        <f>VLOOKUP($A134,UIElg!$A$29:$M$136,13)*VLOOKUP($A134,UIBen!$A$29:$M$136,13)</f>
        <v>0</v>
      </c>
      <c r="D134" s="7">
        <f>VLOOKUP($A134,SNAPElg!$A$29:$K$136,11)*VLOOKUP($A134,SNAPBen!$A$29:$K$136,11)</f>
        <v>314.63357450629087</v>
      </c>
      <c r="E134" s="7">
        <f>VLOOKUP($A134,MedicaidElgBen!$A$29:$M$136,11)*VLOOKUP($A134,MedicaidElgBen!$A$29:$M$136,13)</f>
        <v>456.08561784805852</v>
      </c>
      <c r="F134" s="7">
        <f>VLOOKUP($A134,OtherElgBen!$A$29:$M$136,11)*VLOOKUP($A134,OtherElgBen!$A$29:$M$136,13)</f>
        <v>233.64724974684938</v>
      </c>
      <c r="G134" s="8"/>
      <c r="H134" s="7">
        <f t="shared" si="3"/>
        <v>979.74022443468982</v>
      </c>
      <c r="I134" s="7">
        <f t="shared" si="4"/>
        <v>578.69030558731879</v>
      </c>
      <c r="J134" s="7">
        <f t="shared" si="5"/>
        <v>455.85808161743353</v>
      </c>
      <c r="K134" s="65">
        <f>SUMPRODUCT(H134:J134,Tbl3.5!$B$13:$D$13)</f>
        <v>771.99004404440552</v>
      </c>
      <c r="L134" s="17"/>
      <c r="N134" s="24"/>
    </row>
    <row r="135" spans="1:14">
      <c r="A135" s="4">
        <v>41944</v>
      </c>
      <c r="B135" s="7">
        <f>VLOOKUP($A135,UIElg!$A$29:$K$136,11)*VLOOKUP($A135,UIBen!$A$29:$K$136,11)</f>
        <v>832.27900713356269</v>
      </c>
      <c r="C135" s="7">
        <f>VLOOKUP($A135,UIElg!$A$29:$M$136,13)*VLOOKUP($A135,UIBen!$A$29:$M$136,13)</f>
        <v>0</v>
      </c>
      <c r="D135" s="7">
        <f>VLOOKUP($A135,SNAPElg!$A$29:$K$136,11)*VLOOKUP($A135,SNAPBen!$A$29:$K$136,11)</f>
        <v>314.63357450629087</v>
      </c>
      <c r="E135" s="7">
        <f>VLOOKUP($A135,MedicaidElgBen!$A$29:$M$136,11)*VLOOKUP($A135,MedicaidElgBen!$A$29:$M$136,13)</f>
        <v>456.08561784805852</v>
      </c>
      <c r="F135" s="7">
        <f>VLOOKUP($A135,OtherElgBen!$A$29:$M$136,11)*VLOOKUP($A135,OtherElgBen!$A$29:$M$136,13)</f>
        <v>233.64724974684938</v>
      </c>
      <c r="G135" s="8"/>
      <c r="H135" s="7">
        <f t="shared" si="3"/>
        <v>979.74022443468982</v>
      </c>
      <c r="I135" s="7">
        <f t="shared" si="4"/>
        <v>578.69030558731879</v>
      </c>
      <c r="J135" s="7">
        <f t="shared" si="5"/>
        <v>455.85808161743353</v>
      </c>
      <c r="K135" s="65">
        <f>SUMPRODUCT(H135:J135,Tbl3.5!$B$13:$D$13)</f>
        <v>771.99004404440552</v>
      </c>
      <c r="L135" s="17"/>
      <c r="N135" s="24"/>
    </row>
    <row r="136" spans="1:14">
      <c r="A136" s="4">
        <v>41974</v>
      </c>
      <c r="B136" s="7">
        <f>VLOOKUP($A136,UIElg!$A$29:$K$136,11)*VLOOKUP($A136,UIBen!$A$29:$K$136,11)</f>
        <v>832.27900713356269</v>
      </c>
      <c r="C136" s="7">
        <f>VLOOKUP($A136,UIElg!$A$29:$M$136,13)*VLOOKUP($A136,UIBen!$A$29:$M$136,13)</f>
        <v>0</v>
      </c>
      <c r="D136" s="7">
        <f>VLOOKUP($A136,SNAPElg!$A$29:$K$136,11)*VLOOKUP($A136,SNAPBen!$A$29:$K$136,11)</f>
        <v>314.63357450629087</v>
      </c>
      <c r="E136" s="7">
        <f>VLOOKUP($A136,MedicaidElgBen!$A$29:$M$136,11)*VLOOKUP($A136,MedicaidElgBen!$A$29:$M$136,13)</f>
        <v>456.08561784805852</v>
      </c>
      <c r="F136" s="7">
        <f>VLOOKUP($A136,OtherElgBen!$A$29:$M$136,11)*VLOOKUP($A136,OtherElgBen!$A$29:$M$136,13)</f>
        <v>233.64724974684938</v>
      </c>
      <c r="G136" s="8"/>
      <c r="H136" s="7">
        <f t="shared" si="3"/>
        <v>979.74022443468982</v>
      </c>
      <c r="I136" s="7">
        <f t="shared" si="4"/>
        <v>578.69030558731879</v>
      </c>
      <c r="J136" s="7">
        <f t="shared" si="5"/>
        <v>455.85808161743353</v>
      </c>
      <c r="K136" s="65">
        <f>SUMPRODUCT(H136:J136,Tbl3.5!$B$13:$D$13)</f>
        <v>771.99004404440552</v>
      </c>
      <c r="L136" s="17"/>
      <c r="N136" s="24"/>
    </row>
    <row r="139" spans="1:14">
      <c r="A139" s="6"/>
    </row>
    <row r="140" spans="1:14">
      <c r="A140" s="10"/>
      <c r="B140" s="8"/>
      <c r="C140" s="8"/>
      <c r="D140" s="8"/>
      <c r="E140" s="8"/>
      <c r="F140" s="8"/>
      <c r="G140" s="8"/>
      <c r="H140" s="8"/>
      <c r="I140" s="8"/>
      <c r="J140" s="8"/>
      <c r="K140" s="8"/>
    </row>
    <row r="141" spans="1:14">
      <c r="A141" s="10"/>
      <c r="B141" s="8"/>
      <c r="C141" s="8"/>
      <c r="D141" s="8"/>
      <c r="E141" s="8"/>
      <c r="F141" s="8"/>
      <c r="G141" s="8"/>
      <c r="H141" s="8"/>
      <c r="I141" s="8"/>
      <c r="J141" s="8"/>
      <c r="K141" s="8"/>
    </row>
    <row r="142" spans="1:14">
      <c r="A142" s="10"/>
      <c r="B142" s="8"/>
      <c r="C142" s="8"/>
      <c r="D142" s="8"/>
      <c r="E142" s="8"/>
      <c r="F142" s="8"/>
      <c r="G142" s="8"/>
      <c r="H142" s="8"/>
      <c r="I142" s="8"/>
      <c r="J142" s="8"/>
      <c r="K142" s="8"/>
    </row>
    <row r="143" spans="1:14">
      <c r="A143" s="10"/>
      <c r="B143" s="8"/>
      <c r="C143" s="8"/>
      <c r="D143" s="8"/>
      <c r="E143" s="8"/>
      <c r="F143" s="8"/>
      <c r="G143" s="8"/>
      <c r="H143" s="8"/>
      <c r="I143" s="8"/>
      <c r="J143" s="8"/>
      <c r="K143" s="8"/>
    </row>
    <row r="144" spans="1:14">
      <c r="A144" s="79" t="s">
        <v>425</v>
      </c>
      <c r="B144" s="7">
        <f>AVERAGE(B$41:B$43)</f>
        <v>794.76175330833075</v>
      </c>
      <c r="C144" s="8"/>
      <c r="D144" s="7">
        <f>AVERAGE(D$41:D$43)</f>
        <v>198.01938650289767</v>
      </c>
      <c r="E144" s="8"/>
      <c r="F144" s="8"/>
      <c r="G144" s="8"/>
      <c r="H144" s="8"/>
      <c r="I144" s="8"/>
      <c r="J144" s="8"/>
      <c r="K144" s="8"/>
    </row>
    <row r="145" spans="1:4">
      <c r="A145" s="79" t="s">
        <v>426</v>
      </c>
      <c r="B145" s="7">
        <f>AVERAGE(B$50:B$52)</f>
        <v>794.76175330833075</v>
      </c>
      <c r="D145" s="7">
        <f>AVERAGE(D$50:D$52)</f>
        <v>206.39060326273162</v>
      </c>
    </row>
    <row r="146" spans="1:4">
      <c r="A146" s="79" t="s">
        <v>427</v>
      </c>
      <c r="B146" s="7">
        <f>AVERAGE(B$74:B$76)</f>
        <v>1459.4187951335807</v>
      </c>
      <c r="D146" s="7">
        <f>AVERAGE(D$74:D$76)</f>
        <v>307.15597859332678</v>
      </c>
    </row>
    <row r="147" spans="1:4">
      <c r="A147" s="79" t="s">
        <v>428</v>
      </c>
      <c r="B147" s="7">
        <f>AVERAGE(B$86:B$88)</f>
        <v>1275.9737379766045</v>
      </c>
      <c r="D147" s="7">
        <f>AVERAGE(D$86:D$88)</f>
        <v>329.19254488923485</v>
      </c>
    </row>
    <row r="149" spans="1:4">
      <c r="A149" s="79" t="s">
        <v>429</v>
      </c>
      <c r="B149" s="80">
        <f>B146/B145-1</f>
        <v>0.83629721618900521</v>
      </c>
      <c r="D149" s="80">
        <f>D146/D145-1</f>
        <v>0.48822656524881913</v>
      </c>
    </row>
    <row r="150" spans="1:4">
      <c r="A150" s="79" t="s">
        <v>430</v>
      </c>
      <c r="B150" s="80">
        <f>B147/B144-1</f>
        <v>0.6054795448637873</v>
      </c>
      <c r="D150" s="80">
        <f>D147/D144-1</f>
        <v>0.66242583972664559</v>
      </c>
    </row>
  </sheetData>
  <mergeCells count="1">
    <mergeCell ref="B24:F2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dimension ref="A1:P144"/>
  <sheetViews>
    <sheetView workbookViewId="0"/>
  </sheetViews>
  <sheetFormatPr defaultRowHeight="15"/>
  <cols>
    <col min="1" max="1" width="32.28515625" customWidth="1"/>
    <col min="2" max="10" width="9.140625" customWidth="1"/>
    <col min="13" max="13" width="9.140625" customWidth="1"/>
  </cols>
  <sheetData>
    <row r="1" spans="1:4">
      <c r="A1" s="1" t="s">
        <v>286</v>
      </c>
    </row>
    <row r="2" spans="1:4">
      <c r="A2" s="1"/>
    </row>
    <row r="3" spans="1:4">
      <c r="B3" s="91" t="s">
        <v>100</v>
      </c>
      <c r="C3" s="91"/>
    </row>
    <row r="4" spans="1:4">
      <c r="B4" s="5">
        <v>2007</v>
      </c>
      <c r="C4" s="5">
        <v>2010</v>
      </c>
    </row>
    <row r="5" spans="1:4">
      <c r="A5" s="8" t="s">
        <v>296</v>
      </c>
      <c r="B5">
        <f>AVERAGE(FREDconnect!B17:B28)</f>
        <v>104.60666666666667</v>
      </c>
      <c r="C5">
        <f>AVERAGE(FREDconnect!B53:B64)</f>
        <v>110.76008333333334</v>
      </c>
    </row>
    <row r="6" spans="1:4">
      <c r="A6" t="s">
        <v>297</v>
      </c>
      <c r="B6" s="7">
        <f>B15*C5/B20</f>
        <v>726.50904431953552</v>
      </c>
    </row>
    <row r="7" spans="1:4">
      <c r="A7" t="s">
        <v>298</v>
      </c>
      <c r="B7" s="7">
        <f>B6*52/12</f>
        <v>3148.2058587179872</v>
      </c>
    </row>
    <row r="8" spans="1:4">
      <c r="A8" t="s">
        <v>299</v>
      </c>
      <c r="B8" s="7">
        <f>B7*$D$18/$D$19</f>
        <v>3884.7946666995026</v>
      </c>
    </row>
    <row r="9" spans="1:4">
      <c r="A9" t="s">
        <v>300</v>
      </c>
      <c r="B9" s="7">
        <f>B$7*$D$16</f>
        <v>481.67549638385202</v>
      </c>
    </row>
    <row r="10" spans="1:4">
      <c r="A10" t="s">
        <v>315</v>
      </c>
      <c r="B10" s="7">
        <f>B$7*0.02</f>
        <v>62.964117174359743</v>
      </c>
    </row>
    <row r="11" spans="1:4">
      <c r="A11" t="s">
        <v>301</v>
      </c>
      <c r="B11" s="7">
        <f>B$7*$D$17</f>
        <v>314.82058587179876</v>
      </c>
    </row>
    <row r="13" spans="1:4">
      <c r="B13" s="91" t="s">
        <v>104</v>
      </c>
      <c r="C13" s="91"/>
    </row>
    <row r="14" spans="1:4">
      <c r="B14" s="5">
        <v>2007</v>
      </c>
      <c r="C14" s="5">
        <v>2010</v>
      </c>
      <c r="D14" s="6" t="s">
        <v>34</v>
      </c>
    </row>
    <row r="15" spans="1:4">
      <c r="A15" s="57" t="s">
        <v>291</v>
      </c>
      <c r="B15" s="12">
        <v>692</v>
      </c>
    </row>
    <row r="16" spans="1:4">
      <c r="A16" s="59" t="s">
        <v>292</v>
      </c>
      <c r="B16" s="60">
        <v>0.153</v>
      </c>
      <c r="C16" s="60">
        <v>0.153</v>
      </c>
      <c r="D16">
        <f t="shared" ref="D16" si="0">AVERAGE(B16:C16)</f>
        <v>0.153</v>
      </c>
    </row>
    <row r="17" spans="1:16">
      <c r="A17" s="2" t="s">
        <v>293</v>
      </c>
      <c r="B17" s="60">
        <v>0.1</v>
      </c>
      <c r="C17" s="60">
        <v>0.1</v>
      </c>
      <c r="D17">
        <f>AVERAGE(B17:C17)</f>
        <v>0.1</v>
      </c>
      <c r="E17" s="38" t="s">
        <v>320</v>
      </c>
    </row>
    <row r="18" spans="1:16">
      <c r="A18" s="8" t="s">
        <v>294</v>
      </c>
      <c r="B18">
        <f>VLOOKUP(DATE(B$14,1,1),FREDconnect!$C$8:$J$18,4)</f>
        <v>7855.9</v>
      </c>
      <c r="C18">
        <f>VLOOKUP(DATE(C$14,1,1),FREDconnect!$C$8:$J$18,4)</f>
        <v>7971.4</v>
      </c>
      <c r="D18">
        <f>AVERAGE(B18,C18*B$20/C$20)</f>
        <v>7712.3060038519689</v>
      </c>
      <c r="K18" s="16"/>
    </row>
    <row r="19" spans="1:16">
      <c r="A19" s="8" t="s">
        <v>295</v>
      </c>
      <c r="B19">
        <f>VLOOKUP(DATE(B$14,1,1),FREDconnect!$C$8:$J$18,6)</f>
        <v>6415.5</v>
      </c>
      <c r="C19">
        <f>VLOOKUP(DATE(C$14,1,1),FREDconnect!$C$8:$J$18,6)</f>
        <v>6408.2</v>
      </c>
      <c r="D19">
        <f>AVERAGE(B19,C19*B$20/C$20)</f>
        <v>6249.9897751817989</v>
      </c>
      <c r="K19" s="16"/>
    </row>
    <row r="20" spans="1:16">
      <c r="A20" s="8" t="s">
        <v>296</v>
      </c>
      <c r="B20">
        <f>VLOOKUP(DATE(B$14,1,1),FREDconnect!$C$8:$J$18,8)</f>
        <v>105.499</v>
      </c>
      <c r="C20">
        <f>VLOOKUP(DATE(C$14,1,1),FREDconnect!$C$8:$J$18,8)</f>
        <v>111.11199999999999</v>
      </c>
      <c r="E20" s="18"/>
      <c r="K20" s="16"/>
    </row>
    <row r="21" spans="1:16">
      <c r="A21" s="2"/>
      <c r="B21" s="10"/>
      <c r="C21" s="18"/>
      <c r="D21" s="18"/>
      <c r="E21" s="18"/>
      <c r="H21" s="91" t="s">
        <v>325</v>
      </c>
      <c r="I21" s="91"/>
      <c r="J21" s="91"/>
      <c r="K21" s="91"/>
    </row>
    <row r="22" spans="1:16">
      <c r="A22" s="2"/>
      <c r="B22" t="s">
        <v>288</v>
      </c>
      <c r="C22" t="s">
        <v>289</v>
      </c>
      <c r="D22" t="s">
        <v>318</v>
      </c>
      <c r="E22" t="s">
        <v>319</v>
      </c>
      <c r="F22" t="s">
        <v>290</v>
      </c>
      <c r="H22" s="3" t="s">
        <v>321</v>
      </c>
      <c r="I22" t="s">
        <v>322</v>
      </c>
      <c r="J22" t="s">
        <v>323</v>
      </c>
      <c r="K22" s="16" t="s">
        <v>324</v>
      </c>
      <c r="M22" s="16" t="s">
        <v>363</v>
      </c>
      <c r="O22" s="70" t="s">
        <v>364</v>
      </c>
      <c r="P22" t="s">
        <v>431</v>
      </c>
    </row>
    <row r="23" spans="1:16">
      <c r="A23" s="64" t="s">
        <v>316</v>
      </c>
      <c r="D23" s="4">
        <f>DATE(2000,1,1)</f>
        <v>36526</v>
      </c>
      <c r="E23" s="4">
        <f>DATE(2011,1,1)</f>
        <v>40544</v>
      </c>
      <c r="K23" s="16"/>
    </row>
    <row r="24" spans="1:16">
      <c r="A24" s="64" t="s">
        <v>317</v>
      </c>
      <c r="D24" s="4">
        <f>DATE(2099,12,31)</f>
        <v>73050</v>
      </c>
      <c r="E24" s="4">
        <f>DATE(2012,12,31)</f>
        <v>41274</v>
      </c>
      <c r="K24" s="16"/>
    </row>
    <row r="25" spans="1:16">
      <c r="K25" s="16"/>
      <c r="M25" s="17">
        <f>LN(1-AVERAGE(M74:M76))-LN(1-AVERAGE(M50:M52))</f>
        <v>-0.14422982200665457</v>
      </c>
      <c r="N25" s="16" t="s">
        <v>336</v>
      </c>
    </row>
    <row r="26" spans="1:16">
      <c r="K26" s="16"/>
    </row>
    <row r="27" spans="1:16">
      <c r="A27" s="2" t="s">
        <v>30</v>
      </c>
      <c r="B27" s="7">
        <f>AVERAGE(B$74:B$85)</f>
        <v>30.456008130476178</v>
      </c>
      <c r="C27" s="7">
        <f>AVERAGE(C$74:C$85)</f>
        <v>100.27570669196554</v>
      </c>
      <c r="D27" s="7">
        <f>AVERAGE(D$74:D$85)</f>
        <v>481.67549638385202</v>
      </c>
      <c r="E27" s="7">
        <f>AVERAGE(E$74:E$85)</f>
        <v>0</v>
      </c>
      <c r="F27" s="7">
        <f>AVERAGE(F$74:F$85)</f>
        <v>314.82058587179876</v>
      </c>
      <c r="G27" s="8"/>
      <c r="H27" s="7">
        <f>AVERAGE(H$74:H$85)</f>
        <v>934.05674530589977</v>
      </c>
      <c r="I27" s="7">
        <f t="shared" ref="I27:M27" si="1">AVERAGE(I$74:I$85)</f>
        <v>964.51275343637599</v>
      </c>
      <c r="J27" s="7">
        <f t="shared" si="1"/>
        <v>1064.7884601283415</v>
      </c>
      <c r="K27" s="65">
        <f t="shared" si="1"/>
        <v>1861.2845423839919</v>
      </c>
      <c r="M27" s="24">
        <f t="shared" si="1"/>
        <v>0.47912044318299268</v>
      </c>
    </row>
    <row r="28" spans="1:16">
      <c r="K28" s="16"/>
    </row>
    <row r="29" spans="1:16">
      <c r="A29" s="4">
        <v>38718</v>
      </c>
      <c r="B29" s="12">
        <v>5.3124156762298496</v>
      </c>
      <c r="C29" s="12">
        <v>100.27570669196557</v>
      </c>
      <c r="D29" s="7">
        <f>IF($A29&lt;D$23,0,IF($A29&gt;D$24,0,$B$9))</f>
        <v>481.67549638385202</v>
      </c>
      <c r="E29" s="7">
        <f>-IF($A29&lt;E$23,0,IF($A29&gt;E$24,0,$B$10))</f>
        <v>0</v>
      </c>
      <c r="F29" s="7">
        <f>$B$11</f>
        <v>314.82058587179876</v>
      </c>
      <c r="G29" s="7"/>
      <c r="H29" s="7">
        <f>VLOOKUP($A29,GovGener!$A$29:$M$136,11)</f>
        <v>654.35905716425373</v>
      </c>
      <c r="I29" s="7">
        <f>H29+B29</f>
        <v>659.6714728404836</v>
      </c>
      <c r="J29" s="7">
        <f>I29+C29</f>
        <v>759.94717953244913</v>
      </c>
      <c r="K29" s="65">
        <f>H29+SUM($B29:$F29)</f>
        <v>1556.4432617881</v>
      </c>
      <c r="M29" s="24">
        <f>K29/$B$8</f>
        <v>0.40065007170905237</v>
      </c>
      <c r="O29" s="18">
        <f>AVERAGE(M29:M31)</f>
        <v>0.40063128670174719</v>
      </c>
      <c r="P29" s="18">
        <f>AVERAGE(M29:M40)</f>
        <v>0.4007503926852965</v>
      </c>
    </row>
    <row r="30" spans="1:16">
      <c r="A30" s="4">
        <v>38749</v>
      </c>
      <c r="B30" s="12">
        <v>5.3124156762298496</v>
      </c>
      <c r="C30" s="7">
        <f>C29</f>
        <v>100.27570669196557</v>
      </c>
      <c r="D30" s="7">
        <f t="shared" ref="D30:D93" si="2">IF($A30&lt;D$23,0,IF($A30&gt;D$24,0,$B$9))</f>
        <v>481.67549638385202</v>
      </c>
      <c r="E30" s="7">
        <f t="shared" ref="E30:E93" si="3">-IF($A30&lt;E$23,0,IF($A30&gt;E$24,0,$B$10))</f>
        <v>0</v>
      </c>
      <c r="F30" s="7">
        <f>F29</f>
        <v>314.82058587179876</v>
      </c>
      <c r="G30" s="7"/>
      <c r="H30" s="7">
        <f>VLOOKUP($A30,GovGener!$A$29:$M$136,11)</f>
        <v>654.32142621390483</v>
      </c>
      <c r="I30" s="7">
        <f t="shared" ref="I30:I93" si="4">H30+B30</f>
        <v>659.6338418901347</v>
      </c>
      <c r="J30" s="7">
        <f t="shared" ref="J30:J93" si="5">I30+C30</f>
        <v>759.90954858210023</v>
      </c>
      <c r="K30" s="65">
        <f t="shared" ref="K30:K93" si="6">H30+SUM($B30:$F30)</f>
        <v>1556.4056308377512</v>
      </c>
      <c r="M30" s="24">
        <f t="shared" ref="M30:M93" si="7">K30/$B$8</f>
        <v>0.40064038498077525</v>
      </c>
      <c r="O30" s="18">
        <f t="shared" ref="O30:O93" si="8">AVERAGE(M30:M32)</f>
        <v>0.40062471684657514</v>
      </c>
      <c r="P30" s="18">
        <f t="shared" ref="P30:P93" si="9">AVERAGE(M30:M41)</f>
        <v>0.40082109231431179</v>
      </c>
    </row>
    <row r="31" spans="1:16">
      <c r="A31" s="4">
        <v>38777</v>
      </c>
      <c r="B31" s="12">
        <v>5.3124156762298496</v>
      </c>
      <c r="C31" s="7">
        <f t="shared" ref="C31:C94" si="10">C30</f>
        <v>100.27570669196557</v>
      </c>
      <c r="D31" s="7">
        <f t="shared" si="2"/>
        <v>481.67549638385202</v>
      </c>
      <c r="E31" s="7">
        <f t="shared" si="3"/>
        <v>0</v>
      </c>
      <c r="F31" s="7">
        <f t="shared" ref="F31:F94" si="11">F30</f>
        <v>314.82058587179876</v>
      </c>
      <c r="G31" s="7"/>
      <c r="H31" s="7">
        <f>VLOOKUP($A31,GovGener!$A$29:$M$136,11)</f>
        <v>654.17776042602304</v>
      </c>
      <c r="I31" s="7">
        <f t="shared" si="4"/>
        <v>659.49017610225292</v>
      </c>
      <c r="J31" s="7">
        <f t="shared" si="5"/>
        <v>759.76588279421844</v>
      </c>
      <c r="K31" s="65">
        <f t="shared" si="6"/>
        <v>1556.2619650498693</v>
      </c>
      <c r="M31" s="24">
        <f t="shared" si="7"/>
        <v>0.40060340341541395</v>
      </c>
      <c r="O31" s="18">
        <f t="shared" si="8"/>
        <v>0.40060107411853063</v>
      </c>
      <c r="P31" s="18">
        <f t="shared" si="9"/>
        <v>0.40088510763700508</v>
      </c>
    </row>
    <row r="32" spans="1:16">
      <c r="A32" s="4">
        <v>38808</v>
      </c>
      <c r="B32" s="12">
        <v>5.7953625558871096</v>
      </c>
      <c r="C32" s="7">
        <f t="shared" si="10"/>
        <v>100.27570669196557</v>
      </c>
      <c r="D32" s="7">
        <f t="shared" si="2"/>
        <v>481.67549638385202</v>
      </c>
      <c r="E32" s="7">
        <f t="shared" si="3"/>
        <v>0</v>
      </c>
      <c r="F32" s="7">
        <f t="shared" si="11"/>
        <v>314.82058587179876</v>
      </c>
      <c r="G32" s="7"/>
      <c r="H32" s="7">
        <f>VLOOKUP($A32,GovGener!$A$29:$M$136,11)</f>
        <v>653.79954266959692</v>
      </c>
      <c r="I32" s="7">
        <f t="shared" si="4"/>
        <v>659.59490522548401</v>
      </c>
      <c r="J32" s="7">
        <f t="shared" si="5"/>
        <v>759.87061191744954</v>
      </c>
      <c r="K32" s="65">
        <f t="shared" si="6"/>
        <v>1556.3666941731003</v>
      </c>
      <c r="M32" s="24">
        <f t="shared" si="7"/>
        <v>0.40063036214353637</v>
      </c>
      <c r="O32" s="18">
        <f t="shared" si="8"/>
        <v>0.4005745390238602</v>
      </c>
      <c r="P32" s="18">
        <f t="shared" si="9"/>
        <v>0.40094413469575635</v>
      </c>
    </row>
    <row r="33" spans="1:16">
      <c r="A33" s="4">
        <v>38838</v>
      </c>
      <c r="B33" s="12">
        <v>5.7953625558871096</v>
      </c>
      <c r="C33" s="7">
        <f t="shared" si="10"/>
        <v>100.27570669196557</v>
      </c>
      <c r="D33" s="7">
        <f t="shared" si="2"/>
        <v>481.67549638385202</v>
      </c>
      <c r="E33" s="7">
        <f t="shared" si="3"/>
        <v>0</v>
      </c>
      <c r="F33" s="7">
        <f t="shared" si="11"/>
        <v>314.82058587179876</v>
      </c>
      <c r="G33" s="7"/>
      <c r="H33" s="7">
        <f>VLOOKUP($A33,GovGener!$A$29:$M$136,11)</f>
        <v>653.56293790280608</v>
      </c>
      <c r="I33" s="7">
        <f t="shared" si="4"/>
        <v>659.35830045869318</v>
      </c>
      <c r="J33" s="7">
        <f t="shared" si="5"/>
        <v>759.6340071506587</v>
      </c>
      <c r="K33" s="65">
        <f t="shared" si="6"/>
        <v>1556.1300894063097</v>
      </c>
      <c r="M33" s="24">
        <f t="shared" si="7"/>
        <v>0.40056945679664152</v>
      </c>
      <c r="O33" s="18">
        <f t="shared" si="8"/>
        <v>0.40052688317006163</v>
      </c>
      <c r="P33" s="18">
        <f t="shared" si="9"/>
        <v>0.40102043722483255</v>
      </c>
    </row>
    <row r="34" spans="1:16">
      <c r="A34" s="4">
        <v>38869</v>
      </c>
      <c r="B34" s="12">
        <v>5.7953625558871096</v>
      </c>
      <c r="C34" s="7">
        <f t="shared" si="10"/>
        <v>100.27570669196557</v>
      </c>
      <c r="D34" s="7">
        <f t="shared" si="2"/>
        <v>481.67549638385202</v>
      </c>
      <c r="E34" s="7">
        <f t="shared" si="3"/>
        <v>0</v>
      </c>
      <c r="F34" s="7">
        <f t="shared" si="11"/>
        <v>314.82058587179876</v>
      </c>
      <c r="G34" s="7"/>
      <c r="H34" s="7">
        <f>VLOOKUP($A34,GovGener!$A$29:$M$136,11)</f>
        <v>653.38556336359795</v>
      </c>
      <c r="I34" s="7">
        <f t="shared" si="4"/>
        <v>659.18092591948505</v>
      </c>
      <c r="J34" s="7">
        <f t="shared" si="5"/>
        <v>759.45663261145057</v>
      </c>
      <c r="K34" s="65">
        <f t="shared" si="6"/>
        <v>1555.9527148671013</v>
      </c>
      <c r="M34" s="24">
        <f t="shared" si="7"/>
        <v>0.40052379813140271</v>
      </c>
      <c r="O34" s="18">
        <f t="shared" si="8"/>
        <v>0.4004682821698311</v>
      </c>
      <c r="P34" s="18">
        <f t="shared" si="9"/>
        <v>0.40109583558910317</v>
      </c>
    </row>
    <row r="35" spans="1:16">
      <c r="A35" s="4">
        <v>38899</v>
      </c>
      <c r="B35" s="12">
        <v>5.9563448491061957</v>
      </c>
      <c r="C35" s="7">
        <f t="shared" si="10"/>
        <v>100.27570669196557</v>
      </c>
      <c r="D35" s="7">
        <f t="shared" si="2"/>
        <v>481.67549638385202</v>
      </c>
      <c r="E35" s="7">
        <f t="shared" si="3"/>
        <v>0</v>
      </c>
      <c r="F35" s="7">
        <f t="shared" si="11"/>
        <v>314.82058587179876</v>
      </c>
      <c r="G35" s="7"/>
      <c r="H35" s="7">
        <f>VLOOKUP($A35,GovGener!$A$29:$M$136,11)</f>
        <v>653.08316075635628</v>
      </c>
      <c r="I35" s="7">
        <f t="shared" si="4"/>
        <v>659.03950560546252</v>
      </c>
      <c r="J35" s="7">
        <f t="shared" si="5"/>
        <v>759.31521229742805</v>
      </c>
      <c r="K35" s="65">
        <f t="shared" si="6"/>
        <v>1555.8112945530788</v>
      </c>
      <c r="M35" s="24">
        <f t="shared" si="7"/>
        <v>0.40048739458214055</v>
      </c>
      <c r="O35" s="18">
        <f t="shared" si="8"/>
        <v>0.40044131638100811</v>
      </c>
      <c r="P35" s="18">
        <f t="shared" si="9"/>
        <v>0.40119063277368278</v>
      </c>
    </row>
    <row r="36" spans="1:16">
      <c r="A36" s="4">
        <v>38930</v>
      </c>
      <c r="B36" s="12">
        <v>5.9563448491061957</v>
      </c>
      <c r="C36" s="7">
        <f t="shared" si="10"/>
        <v>100.27570669196557</v>
      </c>
      <c r="D36" s="7">
        <f t="shared" si="2"/>
        <v>481.67549638385202</v>
      </c>
      <c r="E36" s="7">
        <f t="shared" si="3"/>
        <v>0</v>
      </c>
      <c r="F36" s="7">
        <f t="shared" si="11"/>
        <v>314.82058587179876</v>
      </c>
      <c r="G36" s="7"/>
      <c r="H36" s="7">
        <f>VLOOKUP($A36,GovGener!$A$29:$M$136,11)</f>
        <v>652.71899705011049</v>
      </c>
      <c r="I36" s="7">
        <f t="shared" si="4"/>
        <v>658.67534189921673</v>
      </c>
      <c r="J36" s="7">
        <f t="shared" si="5"/>
        <v>758.95104859118226</v>
      </c>
      <c r="K36" s="65">
        <f t="shared" si="6"/>
        <v>1555.4471308468333</v>
      </c>
      <c r="M36" s="24">
        <f t="shared" si="7"/>
        <v>0.40039365379594993</v>
      </c>
      <c r="O36" s="18">
        <f t="shared" si="8"/>
        <v>0.40072693224142686</v>
      </c>
      <c r="P36" s="18">
        <f t="shared" si="9"/>
        <v>0.40133327542898317</v>
      </c>
    </row>
    <row r="37" spans="1:16">
      <c r="A37" s="4">
        <v>38961</v>
      </c>
      <c r="B37" s="12">
        <v>5.9563448491061957</v>
      </c>
      <c r="C37" s="7">
        <f t="shared" si="10"/>
        <v>100.27570669196557</v>
      </c>
      <c r="D37" s="7">
        <f t="shared" si="2"/>
        <v>481.67549638385202</v>
      </c>
      <c r="E37" s="7">
        <f t="shared" si="3"/>
        <v>0</v>
      </c>
      <c r="F37" s="7">
        <f t="shared" si="11"/>
        <v>314.82058587179876</v>
      </c>
      <c r="G37" s="7"/>
      <c r="H37" s="7">
        <f>VLOOKUP($A37,GovGener!$A$29:$M$136,11)</f>
        <v>652.91031141257019</v>
      </c>
      <c r="I37" s="7">
        <f t="shared" si="4"/>
        <v>658.86665626167644</v>
      </c>
      <c r="J37" s="7">
        <f t="shared" si="5"/>
        <v>759.14236295364196</v>
      </c>
      <c r="K37" s="65">
        <f t="shared" si="6"/>
        <v>1555.638445209293</v>
      </c>
      <c r="M37" s="24">
        <f t="shared" si="7"/>
        <v>0.40044290076493377</v>
      </c>
      <c r="O37" s="18">
        <f t="shared" si="8"/>
        <v>0.40103321209674453</v>
      </c>
      <c r="P37" s="18">
        <f t="shared" si="9"/>
        <v>0.4014822414070825</v>
      </c>
    </row>
    <row r="38" spans="1:16">
      <c r="A38" s="4">
        <v>38991</v>
      </c>
      <c r="B38" s="12">
        <v>6.6002740219825418</v>
      </c>
      <c r="C38" s="7">
        <f t="shared" si="10"/>
        <v>100.27570669196557</v>
      </c>
      <c r="D38" s="7">
        <f t="shared" si="2"/>
        <v>481.67549638385202</v>
      </c>
      <c r="E38" s="7">
        <f t="shared" si="3"/>
        <v>0</v>
      </c>
      <c r="F38" s="7">
        <f t="shared" si="11"/>
        <v>314.82058587179876</v>
      </c>
      <c r="G38" s="7"/>
      <c r="H38" s="7">
        <f>VLOOKUP($A38,GovGener!$A$29:$M$136,11)</f>
        <v>655.76790849731844</v>
      </c>
      <c r="I38" s="7">
        <f t="shared" si="4"/>
        <v>662.36818251930094</v>
      </c>
      <c r="J38" s="7">
        <f t="shared" si="5"/>
        <v>762.64388921126647</v>
      </c>
      <c r="K38" s="65">
        <f t="shared" si="6"/>
        <v>1559.1399714669174</v>
      </c>
      <c r="M38" s="24">
        <f t="shared" si="7"/>
        <v>0.40134424216339676</v>
      </c>
      <c r="O38" s="18">
        <f t="shared" si="8"/>
        <v>0.40135442863457066</v>
      </c>
      <c r="P38" s="18">
        <f t="shared" si="9"/>
        <v>0.401619091277156</v>
      </c>
    </row>
    <row r="39" spans="1:16">
      <c r="A39" s="4">
        <v>39022</v>
      </c>
      <c r="B39" s="12">
        <v>6.6002740219825418</v>
      </c>
      <c r="C39" s="7">
        <f t="shared" si="10"/>
        <v>100.27570669196557</v>
      </c>
      <c r="D39" s="7">
        <f t="shared" si="2"/>
        <v>481.67549638385202</v>
      </c>
      <c r="E39" s="7">
        <f t="shared" si="3"/>
        <v>0</v>
      </c>
      <c r="F39" s="7">
        <f t="shared" si="11"/>
        <v>314.82058587179876</v>
      </c>
      <c r="G39" s="7"/>
      <c r="H39" s="7">
        <f>VLOOKUP($A39,GovGener!$A$29:$M$136,11)</f>
        <v>655.6445709226017</v>
      </c>
      <c r="I39" s="7">
        <f t="shared" si="4"/>
        <v>662.2448449445842</v>
      </c>
      <c r="J39" s="7">
        <f t="shared" si="5"/>
        <v>762.52055163654973</v>
      </c>
      <c r="K39" s="65">
        <f t="shared" si="6"/>
        <v>1559.0166338922004</v>
      </c>
      <c r="M39" s="24">
        <f t="shared" si="7"/>
        <v>0.401312493361903</v>
      </c>
      <c r="O39" s="18">
        <f t="shared" si="8"/>
        <v>0.40140583699918375</v>
      </c>
      <c r="P39" s="18">
        <f t="shared" si="9"/>
        <v>0.40184985495811487</v>
      </c>
    </row>
    <row r="40" spans="1:16">
      <c r="A40" s="4">
        <v>39052</v>
      </c>
      <c r="B40" s="12">
        <v>6.6002740219825418</v>
      </c>
      <c r="C40" s="7">
        <f t="shared" si="10"/>
        <v>100.27570669196557</v>
      </c>
      <c r="D40" s="7">
        <f t="shared" si="2"/>
        <v>481.67549638385202</v>
      </c>
      <c r="E40" s="7">
        <f t="shared" si="3"/>
        <v>0</v>
      </c>
      <c r="F40" s="7">
        <f t="shared" si="11"/>
        <v>314.82058587179876</v>
      </c>
      <c r="G40" s="7"/>
      <c r="H40" s="7">
        <f>VLOOKUP($A40,GovGener!$A$29:$M$136,11)</f>
        <v>656.00996311870142</v>
      </c>
      <c r="I40" s="7">
        <f t="shared" si="4"/>
        <v>662.61023714068392</v>
      </c>
      <c r="J40" s="7">
        <f t="shared" si="5"/>
        <v>762.88594383264945</v>
      </c>
      <c r="K40" s="65">
        <f t="shared" si="6"/>
        <v>1559.3820260883003</v>
      </c>
      <c r="M40" s="24">
        <f t="shared" si="7"/>
        <v>0.40140655037841205</v>
      </c>
      <c r="O40" s="18">
        <f t="shared" si="8"/>
        <v>0.40143786216291416</v>
      </c>
      <c r="P40" s="18">
        <f t="shared" si="9"/>
        <v>0.40207145641896003</v>
      </c>
    </row>
    <row r="41" spans="1:16">
      <c r="A41" s="4">
        <v>39083</v>
      </c>
      <c r="B41" s="12">
        <v>7.2442031948588861</v>
      </c>
      <c r="C41" s="7">
        <f t="shared" si="10"/>
        <v>100.27570669196557</v>
      </c>
      <c r="D41" s="7">
        <f t="shared" si="2"/>
        <v>481.67549638385202</v>
      </c>
      <c r="E41" s="7">
        <f t="shared" si="3"/>
        <v>0</v>
      </c>
      <c r="F41" s="7">
        <f t="shared" si="11"/>
        <v>314.82058587179876</v>
      </c>
      <c r="G41" s="7"/>
      <c r="H41" s="7">
        <f>VLOOKUP($A41,GovGener!$A$29:$M$136,11)</f>
        <v>655.72311214646038</v>
      </c>
      <c r="I41" s="7">
        <f t="shared" si="4"/>
        <v>662.96731534131925</v>
      </c>
      <c r="J41" s="7">
        <f t="shared" si="5"/>
        <v>763.24302203328477</v>
      </c>
      <c r="K41" s="65">
        <f t="shared" si="6"/>
        <v>1559.7391042889356</v>
      </c>
      <c r="M41" s="24">
        <f t="shared" si="7"/>
        <v>0.40149846725723609</v>
      </c>
      <c r="O41" s="18">
        <f t="shared" si="8"/>
        <v>0.4014062547435866</v>
      </c>
      <c r="P41" s="18">
        <f t="shared" si="9"/>
        <v>0.402278529833549</v>
      </c>
    </row>
    <row r="42" spans="1:16">
      <c r="A42" s="4">
        <v>39114</v>
      </c>
      <c r="B42" s="12">
        <v>7.2442031948588861</v>
      </c>
      <c r="C42" s="7">
        <f t="shared" si="10"/>
        <v>100.27570669196557</v>
      </c>
      <c r="D42" s="7">
        <f t="shared" si="2"/>
        <v>481.67549638385202</v>
      </c>
      <c r="E42" s="7">
        <f t="shared" si="3"/>
        <v>0</v>
      </c>
      <c r="F42" s="7">
        <f t="shared" si="11"/>
        <v>314.82058587179876</v>
      </c>
      <c r="G42" s="7"/>
      <c r="H42" s="7">
        <f>VLOOKUP($A42,GovGener!$A$29:$M$136,11)</f>
        <v>655.37387530550609</v>
      </c>
      <c r="I42" s="7">
        <f t="shared" si="4"/>
        <v>662.61807850036496</v>
      </c>
      <c r="J42" s="7">
        <f t="shared" si="5"/>
        <v>762.89378519233048</v>
      </c>
      <c r="K42" s="65">
        <f t="shared" si="6"/>
        <v>1559.3898674479813</v>
      </c>
      <c r="M42" s="24">
        <f t="shared" si="7"/>
        <v>0.40140856885309439</v>
      </c>
      <c r="O42" s="18">
        <f t="shared" si="8"/>
        <v>0.40142209648865851</v>
      </c>
      <c r="P42" s="18">
        <f t="shared" si="9"/>
        <v>0.40262751429903609</v>
      </c>
    </row>
    <row r="43" spans="1:16">
      <c r="A43" s="4">
        <v>39142</v>
      </c>
      <c r="B43" s="12">
        <v>7.2442031948588861</v>
      </c>
      <c r="C43" s="7">
        <f t="shared" si="10"/>
        <v>100.27570669196557</v>
      </c>
      <c r="D43" s="7">
        <f t="shared" si="2"/>
        <v>481.67549638385202</v>
      </c>
      <c r="E43" s="7">
        <f t="shared" si="3"/>
        <v>0</v>
      </c>
      <c r="F43" s="7">
        <f t="shared" si="11"/>
        <v>314.82058587179876</v>
      </c>
      <c r="G43" s="7"/>
      <c r="H43" s="7">
        <f>VLOOKUP($A43,GovGener!$A$29:$M$136,11)</f>
        <v>654.9976689437292</v>
      </c>
      <c r="I43" s="7">
        <f t="shared" si="4"/>
        <v>662.24187213858806</v>
      </c>
      <c r="J43" s="7">
        <f t="shared" si="5"/>
        <v>762.51757883055359</v>
      </c>
      <c r="K43" s="65">
        <f t="shared" si="6"/>
        <v>1559.0136610862044</v>
      </c>
      <c r="M43" s="24">
        <f t="shared" si="7"/>
        <v>0.40131172812042926</v>
      </c>
      <c r="O43" s="18">
        <f t="shared" si="8"/>
        <v>0.40144398592692304</v>
      </c>
      <c r="P43" s="18">
        <f t="shared" si="9"/>
        <v>0.40297905595572642</v>
      </c>
    </row>
    <row r="44" spans="1:16">
      <c r="A44" s="4">
        <v>39173</v>
      </c>
      <c r="B44" s="12">
        <v>8.3710792473924904</v>
      </c>
      <c r="C44" s="7">
        <f t="shared" si="10"/>
        <v>100.27570669196557</v>
      </c>
      <c r="D44" s="7">
        <f t="shared" si="2"/>
        <v>481.67549638385202</v>
      </c>
      <c r="E44" s="7">
        <f t="shared" si="3"/>
        <v>0</v>
      </c>
      <c r="F44" s="7">
        <f t="shared" si="11"/>
        <v>314.82058587179876</v>
      </c>
      <c r="G44" s="7"/>
      <c r="H44" s="7">
        <f>VLOOKUP($A44,GovGener!$A$29:$M$136,11)</f>
        <v>654.78086187422628</v>
      </c>
      <c r="I44" s="7">
        <f t="shared" si="4"/>
        <v>663.15194112161873</v>
      </c>
      <c r="J44" s="7">
        <f t="shared" si="5"/>
        <v>763.42764781358426</v>
      </c>
      <c r="K44" s="65">
        <f t="shared" si="6"/>
        <v>1559.923730069235</v>
      </c>
      <c r="M44" s="24">
        <f t="shared" si="7"/>
        <v>0.40154599249245176</v>
      </c>
      <c r="O44" s="18">
        <f t="shared" si="8"/>
        <v>0.40156053133556596</v>
      </c>
      <c r="P44" s="18">
        <f t="shared" si="9"/>
        <v>0.40336044379667918</v>
      </c>
    </row>
    <row r="45" spans="1:16">
      <c r="A45" s="4">
        <v>39203</v>
      </c>
      <c r="B45" s="12">
        <v>8.3710792473924904</v>
      </c>
      <c r="C45" s="7">
        <f t="shared" si="10"/>
        <v>100.27570669196557</v>
      </c>
      <c r="D45" s="7">
        <f t="shared" si="2"/>
        <v>481.67549638385202</v>
      </c>
      <c r="E45" s="7">
        <f t="shared" si="3"/>
        <v>0</v>
      </c>
      <c r="F45" s="7">
        <f t="shared" si="11"/>
        <v>314.82058587179876</v>
      </c>
      <c r="G45" s="7"/>
      <c r="H45" s="7">
        <f>VLOOKUP($A45,GovGener!$A$29:$M$136,11)</f>
        <v>654.50210717205448</v>
      </c>
      <c r="I45" s="7">
        <f t="shared" si="4"/>
        <v>662.87318641944694</v>
      </c>
      <c r="J45" s="7">
        <f t="shared" si="5"/>
        <v>763.14889311141246</v>
      </c>
      <c r="K45" s="65">
        <f t="shared" si="6"/>
        <v>1559.6449753670631</v>
      </c>
      <c r="M45" s="24">
        <f t="shared" si="7"/>
        <v>0.40147423716788816</v>
      </c>
      <c r="O45" s="18">
        <f t="shared" si="8"/>
        <v>0.40177823598666373</v>
      </c>
      <c r="P45" s="18">
        <f t="shared" si="9"/>
        <v>0.40378775775461645</v>
      </c>
    </row>
    <row r="46" spans="1:16">
      <c r="A46" s="4">
        <v>39234</v>
      </c>
      <c r="B46" s="12">
        <v>8.3710792473924904</v>
      </c>
      <c r="C46" s="7">
        <f t="shared" si="10"/>
        <v>100.27570669196557</v>
      </c>
      <c r="D46" s="7">
        <f t="shared" si="2"/>
        <v>481.67549638385202</v>
      </c>
      <c r="E46" s="7">
        <f t="shared" si="3"/>
        <v>0</v>
      </c>
      <c r="F46" s="7">
        <f t="shared" si="11"/>
        <v>314.82058587179876</v>
      </c>
      <c r="G46" s="7"/>
      <c r="H46" s="7">
        <f>VLOOKUP($A46,GovGener!$A$29:$M$136,11)</f>
        <v>655.2290578369682</v>
      </c>
      <c r="I46" s="7">
        <f t="shared" si="4"/>
        <v>663.60013708436065</v>
      </c>
      <c r="J46" s="7">
        <f t="shared" si="5"/>
        <v>763.87584377632618</v>
      </c>
      <c r="K46" s="65">
        <f t="shared" si="6"/>
        <v>1560.371926031977</v>
      </c>
      <c r="M46" s="24">
        <f t="shared" si="7"/>
        <v>0.40166136434635791</v>
      </c>
      <c r="O46" s="18">
        <f t="shared" si="8"/>
        <v>0.4020139054417482</v>
      </c>
      <c r="P46" s="18">
        <f t="shared" si="9"/>
        <v>0.40421193707731201</v>
      </c>
    </row>
    <row r="47" spans="1:16">
      <c r="A47" s="4">
        <v>39264</v>
      </c>
      <c r="B47" s="12">
        <v>10.624831352459699</v>
      </c>
      <c r="C47" s="7">
        <f t="shared" si="10"/>
        <v>100.27570669196557</v>
      </c>
      <c r="D47" s="7">
        <f t="shared" si="2"/>
        <v>481.67549638385202</v>
      </c>
      <c r="E47" s="7">
        <f t="shared" si="3"/>
        <v>0</v>
      </c>
      <c r="F47" s="7">
        <f t="shared" si="11"/>
        <v>314.82058587179876</v>
      </c>
      <c r="G47" s="7"/>
      <c r="H47" s="7">
        <f>VLOOKUP($A47,GovGener!$A$29:$M$136,11)</f>
        <v>655.06432337166018</v>
      </c>
      <c r="I47" s="7">
        <f t="shared" si="4"/>
        <v>665.68915472411993</v>
      </c>
      <c r="J47" s="7">
        <f t="shared" si="5"/>
        <v>765.96486141608545</v>
      </c>
      <c r="K47" s="65">
        <f t="shared" si="6"/>
        <v>1562.460943671736</v>
      </c>
      <c r="M47" s="24">
        <f t="shared" si="7"/>
        <v>0.40219910644574508</v>
      </c>
      <c r="O47" s="18">
        <f t="shared" si="8"/>
        <v>0.40215515039490063</v>
      </c>
      <c r="P47" s="18">
        <f t="shared" si="9"/>
        <v>0.4046069707321161</v>
      </c>
    </row>
    <row r="48" spans="1:16">
      <c r="A48" s="4">
        <v>39295</v>
      </c>
      <c r="B48" s="12">
        <v>10.624831352459699</v>
      </c>
      <c r="C48" s="7">
        <f t="shared" si="10"/>
        <v>100.27570669196557</v>
      </c>
      <c r="D48" s="7">
        <f t="shared" si="2"/>
        <v>481.67549638385202</v>
      </c>
      <c r="E48" s="7">
        <f t="shared" si="3"/>
        <v>0</v>
      </c>
      <c r="F48" s="7">
        <f t="shared" si="11"/>
        <v>314.82058587179876</v>
      </c>
      <c r="G48" s="7"/>
      <c r="H48" s="7">
        <f>VLOOKUP($A48,GovGener!$A$29:$M$136,11)</f>
        <v>654.99493739363561</v>
      </c>
      <c r="I48" s="7">
        <f t="shared" si="4"/>
        <v>665.61976874609536</v>
      </c>
      <c r="J48" s="7">
        <f t="shared" si="5"/>
        <v>765.89547543806088</v>
      </c>
      <c r="K48" s="65">
        <f t="shared" si="6"/>
        <v>1562.3915576937115</v>
      </c>
      <c r="M48" s="24">
        <f t="shared" si="7"/>
        <v>0.40218124553314155</v>
      </c>
      <c r="O48" s="18">
        <f t="shared" si="8"/>
        <v>0.40279325035795327</v>
      </c>
      <c r="P48" s="18">
        <f t="shared" si="9"/>
        <v>0.40670595725333208</v>
      </c>
    </row>
    <row r="49" spans="1:16">
      <c r="A49" s="4">
        <v>39326</v>
      </c>
      <c r="B49" s="12">
        <v>10.624831352459699</v>
      </c>
      <c r="C49" s="7">
        <f t="shared" si="10"/>
        <v>100.27570669196557</v>
      </c>
      <c r="D49" s="7">
        <f t="shared" si="2"/>
        <v>481.67549638385202</v>
      </c>
      <c r="E49" s="7">
        <f t="shared" si="3"/>
        <v>0</v>
      </c>
      <c r="F49" s="7">
        <f t="shared" si="11"/>
        <v>314.82058587179876</v>
      </c>
      <c r="G49" s="7"/>
      <c r="H49" s="7">
        <f>VLOOKUP($A49,GovGener!$A$29:$M$136,11)</f>
        <v>654.62142865401574</v>
      </c>
      <c r="I49" s="7">
        <f t="shared" si="4"/>
        <v>665.2462600064755</v>
      </c>
      <c r="J49" s="7">
        <f t="shared" si="5"/>
        <v>765.52196669844102</v>
      </c>
      <c r="K49" s="65">
        <f t="shared" si="6"/>
        <v>1562.0180489540917</v>
      </c>
      <c r="M49" s="24">
        <f t="shared" si="7"/>
        <v>0.40208509920581531</v>
      </c>
      <c r="O49" s="18">
        <f t="shared" si="8"/>
        <v>0.40339007214425465</v>
      </c>
      <c r="P49" s="18">
        <f t="shared" si="9"/>
        <v>0.40880825538591009</v>
      </c>
    </row>
    <row r="50" spans="1:16">
      <c r="A50" s="4">
        <v>39356</v>
      </c>
      <c r="B50" s="12">
        <v>13.200548043965084</v>
      </c>
      <c r="C50" s="7">
        <f t="shared" si="10"/>
        <v>100.27570669196557</v>
      </c>
      <c r="D50" s="7">
        <f t="shared" si="2"/>
        <v>481.67549638385202</v>
      </c>
      <c r="E50" s="7">
        <f t="shared" si="3"/>
        <v>0</v>
      </c>
      <c r="F50" s="7">
        <f t="shared" si="11"/>
        <v>314.82058587179876</v>
      </c>
      <c r="G50" s="7"/>
      <c r="H50" s="7">
        <f>VLOOKUP($A50,GovGener!$A$29:$M$136,11)</f>
        <v>659.92526868001892</v>
      </c>
      <c r="I50" s="7">
        <f t="shared" si="4"/>
        <v>673.12581672398403</v>
      </c>
      <c r="J50" s="7">
        <f t="shared" si="5"/>
        <v>773.40152341594955</v>
      </c>
      <c r="K50" s="65">
        <f t="shared" si="6"/>
        <v>1569.8976056716003</v>
      </c>
      <c r="M50" s="24">
        <f t="shared" si="7"/>
        <v>0.40411340633490306</v>
      </c>
      <c r="O50" s="18">
        <f t="shared" si="8"/>
        <v>0.40399218286014271</v>
      </c>
      <c r="P50" s="18">
        <f t="shared" si="9"/>
        <v>0.4109159507628049</v>
      </c>
    </row>
    <row r="51" spans="1:16">
      <c r="A51" s="4">
        <v>39387</v>
      </c>
      <c r="B51" s="12">
        <v>13.200548043965084</v>
      </c>
      <c r="C51" s="7">
        <f t="shared" si="10"/>
        <v>100.27570669196557</v>
      </c>
      <c r="D51" s="7">
        <f t="shared" si="2"/>
        <v>481.67549638385202</v>
      </c>
      <c r="E51" s="7">
        <f t="shared" si="3"/>
        <v>0</v>
      </c>
      <c r="F51" s="7">
        <f t="shared" si="11"/>
        <v>314.82058587179876</v>
      </c>
      <c r="G51" s="7"/>
      <c r="H51" s="7">
        <f>VLOOKUP($A51,GovGener!$A$29:$M$136,11)</f>
        <v>659.37481097931072</v>
      </c>
      <c r="I51" s="7">
        <f t="shared" si="4"/>
        <v>672.57535902327584</v>
      </c>
      <c r="J51" s="7">
        <f t="shared" si="5"/>
        <v>772.85106571524136</v>
      </c>
      <c r="K51" s="65">
        <f t="shared" si="6"/>
        <v>1569.3471479708921</v>
      </c>
      <c r="M51" s="24">
        <f t="shared" si="7"/>
        <v>0.40397171089204559</v>
      </c>
      <c r="O51" s="18">
        <f t="shared" si="8"/>
        <v>0.40451647436286869</v>
      </c>
      <c r="P51" s="18">
        <f t="shared" si="9"/>
        <v>0.41329195917377537</v>
      </c>
    </row>
    <row r="52" spans="1:16">
      <c r="A52" s="4">
        <v>39417</v>
      </c>
      <c r="B52" s="12">
        <v>13.200548043965084</v>
      </c>
      <c r="C52" s="7">
        <f t="shared" si="10"/>
        <v>100.27570669196557</v>
      </c>
      <c r="D52" s="7">
        <f t="shared" si="2"/>
        <v>481.67549638385202</v>
      </c>
      <c r="E52" s="7">
        <f t="shared" si="3"/>
        <v>0</v>
      </c>
      <c r="F52" s="7">
        <f t="shared" si="11"/>
        <v>314.82058587179876</v>
      </c>
      <c r="G52" s="7"/>
      <c r="H52" s="7">
        <f>VLOOKUP($A52,GovGener!$A$29:$M$136,11)</f>
        <v>659.06294145604386</v>
      </c>
      <c r="I52" s="7">
        <f t="shared" si="4"/>
        <v>672.26348950000897</v>
      </c>
      <c r="J52" s="7">
        <f t="shared" si="5"/>
        <v>772.5391961919745</v>
      </c>
      <c r="K52" s="65">
        <f t="shared" si="6"/>
        <v>1569.0352784476254</v>
      </c>
      <c r="M52" s="24">
        <f t="shared" si="7"/>
        <v>0.40389143135347949</v>
      </c>
      <c r="O52" s="18">
        <f t="shared" si="8"/>
        <v>0.40506826030997961</v>
      </c>
      <c r="P52" s="18">
        <f t="shared" si="9"/>
        <v>0.41571071380889357</v>
      </c>
    </row>
    <row r="53" spans="1:16">
      <c r="A53" s="4">
        <v>39448</v>
      </c>
      <c r="B53" s="12">
        <v>17.708052254099503</v>
      </c>
      <c r="C53" s="7">
        <f t="shared" si="10"/>
        <v>100.27570669196557</v>
      </c>
      <c r="D53" s="7">
        <f t="shared" si="2"/>
        <v>481.67549638385202</v>
      </c>
      <c r="E53" s="7">
        <f t="shared" si="3"/>
        <v>0</v>
      </c>
      <c r="F53" s="7">
        <f t="shared" si="11"/>
        <v>314.82058587179876</v>
      </c>
      <c r="G53" s="7"/>
      <c r="H53" s="7">
        <f>VLOOKUP($A53,GovGener!$A$29:$M$136,11)</f>
        <v>661.52805897064218</v>
      </c>
      <c r="I53" s="7">
        <f t="shared" si="4"/>
        <v>679.23611122474165</v>
      </c>
      <c r="J53" s="7">
        <f t="shared" si="5"/>
        <v>779.51181791670717</v>
      </c>
      <c r="K53" s="65">
        <f t="shared" si="6"/>
        <v>1576.0079001723579</v>
      </c>
      <c r="M53" s="24">
        <f t="shared" si="7"/>
        <v>0.40568628084308106</v>
      </c>
      <c r="O53" s="18">
        <f t="shared" si="8"/>
        <v>0.40573391059610736</v>
      </c>
      <c r="P53" s="18">
        <f t="shared" si="9"/>
        <v>0.41882930507033406</v>
      </c>
    </row>
    <row r="54" spans="1:16">
      <c r="A54" s="4">
        <v>39479</v>
      </c>
      <c r="B54" s="12">
        <v>17.708052254099503</v>
      </c>
      <c r="C54" s="7">
        <f t="shared" si="10"/>
        <v>100.27570669196557</v>
      </c>
      <c r="D54" s="7">
        <f t="shared" si="2"/>
        <v>481.67549638385202</v>
      </c>
      <c r="E54" s="7">
        <f t="shared" si="3"/>
        <v>0</v>
      </c>
      <c r="F54" s="7">
        <f t="shared" si="11"/>
        <v>314.82058587179876</v>
      </c>
      <c r="G54" s="7"/>
      <c r="H54" s="7">
        <f>VLOOKUP($A54,GovGener!$A$29:$M$136,11)</f>
        <v>661.29803208266503</v>
      </c>
      <c r="I54" s="7">
        <f t="shared" si="4"/>
        <v>679.0060843367645</v>
      </c>
      <c r="J54" s="7">
        <f t="shared" si="5"/>
        <v>779.28179102873003</v>
      </c>
      <c r="K54" s="65">
        <f t="shared" si="6"/>
        <v>1575.7778732843808</v>
      </c>
      <c r="M54" s="24">
        <f t="shared" si="7"/>
        <v>0.40562706873337834</v>
      </c>
      <c r="O54" s="18">
        <f t="shared" si="8"/>
        <v>0.40606307031097993</v>
      </c>
      <c r="P54" s="18">
        <f t="shared" si="9"/>
        <v>0.42188282155441076</v>
      </c>
    </row>
    <row r="55" spans="1:16">
      <c r="A55" s="4">
        <v>39508</v>
      </c>
      <c r="B55" s="12">
        <v>17.708052254099503</v>
      </c>
      <c r="C55" s="7">
        <f t="shared" si="10"/>
        <v>100.27570669196557</v>
      </c>
      <c r="D55" s="7">
        <f t="shared" si="2"/>
        <v>481.67549638385202</v>
      </c>
      <c r="E55" s="7">
        <f t="shared" si="3"/>
        <v>0</v>
      </c>
      <c r="F55" s="7">
        <f t="shared" si="11"/>
        <v>314.82058587179876</v>
      </c>
      <c r="G55" s="7"/>
      <c r="H55" s="7">
        <f>VLOOKUP($A55,GovGener!$A$29:$M$136,11)</f>
        <v>662.3131812902177</v>
      </c>
      <c r="I55" s="7">
        <f t="shared" si="4"/>
        <v>680.02123354431717</v>
      </c>
      <c r="J55" s="7">
        <f t="shared" si="5"/>
        <v>780.29694023628269</v>
      </c>
      <c r="K55" s="65">
        <f t="shared" si="6"/>
        <v>1576.7930224919335</v>
      </c>
      <c r="M55" s="24">
        <f t="shared" si="7"/>
        <v>0.40588838221186269</v>
      </c>
      <c r="O55" s="18">
        <f t="shared" si="8"/>
        <v>0.40637551041326531</v>
      </c>
      <c r="P55" s="18">
        <f t="shared" si="9"/>
        <v>0.42493363859061212</v>
      </c>
    </row>
    <row r="56" spans="1:16">
      <c r="A56" s="4">
        <v>39539</v>
      </c>
      <c r="B56" s="12">
        <v>21.088680411700317</v>
      </c>
      <c r="C56" s="7">
        <f t="shared" si="10"/>
        <v>100.27570669196557</v>
      </c>
      <c r="D56" s="7">
        <f t="shared" si="2"/>
        <v>481.67549638385202</v>
      </c>
      <c r="E56" s="7">
        <f t="shared" si="3"/>
        <v>0</v>
      </c>
      <c r="F56" s="7">
        <f t="shared" si="11"/>
        <v>314.82058587179876</v>
      </c>
      <c r="G56" s="7"/>
      <c r="H56" s="7">
        <f>VLOOKUP($A56,GovGener!$A$29:$M$136,11)</f>
        <v>661.98358452752859</v>
      </c>
      <c r="I56" s="7">
        <f t="shared" si="4"/>
        <v>683.07226493922894</v>
      </c>
      <c r="J56" s="7">
        <f t="shared" si="5"/>
        <v>783.34797163119447</v>
      </c>
      <c r="K56" s="65">
        <f t="shared" si="6"/>
        <v>1579.8440538868454</v>
      </c>
      <c r="M56" s="24">
        <f t="shared" si="7"/>
        <v>0.40667375998769867</v>
      </c>
      <c r="O56" s="18">
        <f t="shared" si="8"/>
        <v>0.40654663907731386</v>
      </c>
      <c r="P56" s="18">
        <f t="shared" si="9"/>
        <v>0.4279684529394967</v>
      </c>
    </row>
    <row r="57" spans="1:16">
      <c r="A57" s="4">
        <v>39569</v>
      </c>
      <c r="B57" s="12">
        <v>21.088680411700317</v>
      </c>
      <c r="C57" s="7">
        <f t="shared" si="10"/>
        <v>100.27570669196557</v>
      </c>
      <c r="D57" s="7">
        <f t="shared" si="2"/>
        <v>481.67549638385202</v>
      </c>
      <c r="E57" s="7">
        <f t="shared" si="3"/>
        <v>0</v>
      </c>
      <c r="F57" s="7">
        <f t="shared" si="11"/>
        <v>314.82058587179876</v>
      </c>
      <c r="G57" s="7"/>
      <c r="H57" s="7">
        <f>VLOOKUP($A57,GovGener!$A$29:$M$136,11)</f>
        <v>661.55870085412778</v>
      </c>
      <c r="I57" s="7">
        <f t="shared" si="4"/>
        <v>682.64738126582813</v>
      </c>
      <c r="J57" s="7">
        <f t="shared" si="5"/>
        <v>782.92308795779365</v>
      </c>
      <c r="K57" s="65">
        <f t="shared" si="6"/>
        <v>1579.4191702134444</v>
      </c>
      <c r="M57" s="24">
        <f t="shared" si="7"/>
        <v>0.40656438904023445</v>
      </c>
      <c r="O57" s="18">
        <f t="shared" si="8"/>
        <v>0.41345103398152655</v>
      </c>
      <c r="P57" s="18">
        <f t="shared" si="9"/>
        <v>0.43419332613364614</v>
      </c>
    </row>
    <row r="58" spans="1:16">
      <c r="A58" s="4">
        <v>39600</v>
      </c>
      <c r="B58" s="12">
        <v>21.088680411700317</v>
      </c>
      <c r="C58" s="7">
        <f t="shared" si="10"/>
        <v>100.27570669196557</v>
      </c>
      <c r="D58" s="7">
        <f t="shared" si="2"/>
        <v>481.67549638385202</v>
      </c>
      <c r="E58" s="7">
        <f t="shared" si="3"/>
        <v>0</v>
      </c>
      <c r="F58" s="7">
        <f t="shared" si="11"/>
        <v>314.82058587179876</v>
      </c>
      <c r="G58" s="7"/>
      <c r="H58" s="7">
        <f>VLOOKUP($A58,GovGener!$A$29:$M$136,11)</f>
        <v>660.92695229686308</v>
      </c>
      <c r="I58" s="7">
        <f t="shared" si="4"/>
        <v>682.01563270856343</v>
      </c>
      <c r="J58" s="7">
        <f t="shared" si="5"/>
        <v>782.29133940052895</v>
      </c>
      <c r="K58" s="65">
        <f t="shared" si="6"/>
        <v>1578.78742165618</v>
      </c>
      <c r="M58" s="24">
        <f t="shared" si="7"/>
        <v>0.40640176820400858</v>
      </c>
      <c r="O58" s="18">
        <f t="shared" si="8"/>
        <v>0.42039917867614096</v>
      </c>
      <c r="P58" s="18">
        <f t="shared" si="9"/>
        <v>0.44042879916304806</v>
      </c>
    </row>
    <row r="59" spans="1:16">
      <c r="A59" s="4">
        <v>39630</v>
      </c>
      <c r="B59" s="12">
        <v>25.435202328615649</v>
      </c>
      <c r="C59" s="7">
        <f t="shared" si="10"/>
        <v>100.27570669196557</v>
      </c>
      <c r="D59" s="7">
        <f t="shared" si="2"/>
        <v>481.67549638385202</v>
      </c>
      <c r="E59" s="7">
        <f t="shared" si="3"/>
        <v>0</v>
      </c>
      <c r="F59" s="7">
        <f t="shared" si="11"/>
        <v>314.82058587179876</v>
      </c>
      <c r="G59" s="7"/>
      <c r="H59" s="7">
        <f>VLOOKUP($A59,GovGener!$A$29:$M$136,11)</f>
        <v>738.10353211263168</v>
      </c>
      <c r="I59" s="7">
        <f t="shared" si="4"/>
        <v>763.53873444124736</v>
      </c>
      <c r="J59" s="7">
        <f t="shared" si="5"/>
        <v>863.81444113321288</v>
      </c>
      <c r="K59" s="65">
        <f t="shared" si="6"/>
        <v>1660.3105233888637</v>
      </c>
      <c r="M59" s="24">
        <f t="shared" si="7"/>
        <v>0.42738694470033678</v>
      </c>
      <c r="O59" s="18">
        <f t="shared" si="8"/>
        <v>0.42739107051765562</v>
      </c>
      <c r="P59" s="18">
        <f t="shared" si="9"/>
        <v>0.44668316241121353</v>
      </c>
    </row>
    <row r="60" spans="1:16">
      <c r="A60" s="4">
        <v>39661</v>
      </c>
      <c r="B60" s="12">
        <v>25.435202328615649</v>
      </c>
      <c r="C60" s="7">
        <f t="shared" si="10"/>
        <v>100.27570669196557</v>
      </c>
      <c r="D60" s="7">
        <f t="shared" si="2"/>
        <v>481.67549638385202</v>
      </c>
      <c r="E60" s="7">
        <f t="shared" si="3"/>
        <v>0</v>
      </c>
      <c r="F60" s="7">
        <f t="shared" si="11"/>
        <v>314.82058587179876</v>
      </c>
      <c r="G60" s="7"/>
      <c r="H60" s="7">
        <f>VLOOKUP($A60,GovGener!$A$29:$M$136,11)</f>
        <v>738.18852529649541</v>
      </c>
      <c r="I60" s="7">
        <f t="shared" si="4"/>
        <v>763.62372762511109</v>
      </c>
      <c r="J60" s="7">
        <f t="shared" si="5"/>
        <v>863.89943431707661</v>
      </c>
      <c r="K60" s="65">
        <f t="shared" si="6"/>
        <v>1660.3955165727275</v>
      </c>
      <c r="M60" s="24">
        <f t="shared" si="7"/>
        <v>0.42740882312407757</v>
      </c>
      <c r="O60" s="18">
        <f t="shared" si="8"/>
        <v>0.42913725803972619</v>
      </c>
      <c r="P60" s="18">
        <f t="shared" si="9"/>
        <v>0.45131523123382511</v>
      </c>
    </row>
    <row r="61" spans="1:16">
      <c r="A61" s="4">
        <v>39692</v>
      </c>
      <c r="B61" s="12">
        <v>25.435202328615649</v>
      </c>
      <c r="C61" s="7">
        <f t="shared" si="10"/>
        <v>100.27570669196557</v>
      </c>
      <c r="D61" s="7">
        <f t="shared" si="2"/>
        <v>481.67549638385202</v>
      </c>
      <c r="E61" s="7">
        <f t="shared" si="3"/>
        <v>0</v>
      </c>
      <c r="F61" s="7">
        <f t="shared" si="11"/>
        <v>314.82058587179876</v>
      </c>
      <c r="G61" s="7"/>
      <c r="H61" s="7">
        <f>VLOOKUP($A61,GovGener!$A$29:$M$136,11)</f>
        <v>738.06662278811552</v>
      </c>
      <c r="I61" s="7">
        <f t="shared" si="4"/>
        <v>763.5018251167312</v>
      </c>
      <c r="J61" s="7">
        <f t="shared" si="5"/>
        <v>863.77753180869672</v>
      </c>
      <c r="K61" s="65">
        <f t="shared" si="6"/>
        <v>1660.2736140643474</v>
      </c>
      <c r="M61" s="24">
        <f t="shared" si="7"/>
        <v>0.42737744372855246</v>
      </c>
      <c r="O61" s="18">
        <f t="shared" si="8"/>
        <v>0.43099990583618819</v>
      </c>
      <c r="P61" s="18">
        <f t="shared" si="9"/>
        <v>0.45598658174229495</v>
      </c>
    </row>
    <row r="62" spans="1:16">
      <c r="A62" s="4">
        <v>39722</v>
      </c>
      <c r="B62" s="12">
        <v>28.654848192997374</v>
      </c>
      <c r="C62" s="7">
        <f t="shared" si="10"/>
        <v>100.27570669196557</v>
      </c>
      <c r="D62" s="7">
        <f t="shared" si="2"/>
        <v>481.67549638385202</v>
      </c>
      <c r="E62" s="7">
        <f t="shared" si="3"/>
        <v>0</v>
      </c>
      <c r="F62" s="7">
        <f t="shared" si="11"/>
        <v>314.82058587179876</v>
      </c>
      <c r="G62" s="7"/>
      <c r="H62" s="7">
        <f>VLOOKUP($A62,GovGener!$A$29:$M$136,11)</f>
        <v>755.23462616664062</v>
      </c>
      <c r="I62" s="7">
        <f t="shared" si="4"/>
        <v>783.88947435963803</v>
      </c>
      <c r="J62" s="7">
        <f t="shared" si="5"/>
        <v>884.16518105160355</v>
      </c>
      <c r="K62" s="65">
        <f t="shared" si="6"/>
        <v>1680.6612633072546</v>
      </c>
      <c r="M62" s="24">
        <f t="shared" si="7"/>
        <v>0.43262550726654853</v>
      </c>
      <c r="O62" s="18">
        <f t="shared" si="8"/>
        <v>0.43564560009025927</v>
      </c>
      <c r="P62" s="18">
        <f t="shared" si="9"/>
        <v>0.46065493900235044</v>
      </c>
    </row>
    <row r="63" spans="1:16">
      <c r="A63" s="4">
        <v>39753</v>
      </c>
      <c r="B63" s="12">
        <v>28.654848192997374</v>
      </c>
      <c r="C63" s="7">
        <f t="shared" si="10"/>
        <v>100.27570669196557</v>
      </c>
      <c r="D63" s="7">
        <f t="shared" si="2"/>
        <v>481.67549638385202</v>
      </c>
      <c r="E63" s="7">
        <f t="shared" si="3"/>
        <v>0</v>
      </c>
      <c r="F63" s="7">
        <f t="shared" si="11"/>
        <v>314.82058587179876</v>
      </c>
      <c r="G63" s="7"/>
      <c r="H63" s="7">
        <f>VLOOKUP($A63,GovGener!$A$29:$M$136,11)</f>
        <v>756.67689210901892</v>
      </c>
      <c r="I63" s="7">
        <f t="shared" si="4"/>
        <v>785.33174030201633</v>
      </c>
      <c r="J63" s="7">
        <f t="shared" si="5"/>
        <v>885.60744699398185</v>
      </c>
      <c r="K63" s="65">
        <f t="shared" si="6"/>
        <v>1682.1035292496326</v>
      </c>
      <c r="M63" s="24">
        <f t="shared" si="7"/>
        <v>0.43299676651346347</v>
      </c>
      <c r="O63" s="18">
        <f t="shared" si="8"/>
        <v>0.43887992388541019</v>
      </c>
      <c r="P63" s="18">
        <f t="shared" si="9"/>
        <v>0.46484802208465026</v>
      </c>
    </row>
    <row r="64" spans="1:16">
      <c r="A64" s="4">
        <v>39783</v>
      </c>
      <c r="B64" s="12">
        <v>28.654848192997374</v>
      </c>
      <c r="C64" s="7">
        <f t="shared" si="10"/>
        <v>100.27570669196557</v>
      </c>
      <c r="D64" s="7">
        <f t="shared" si="2"/>
        <v>481.67549638385202</v>
      </c>
      <c r="E64" s="7">
        <f t="shared" si="3"/>
        <v>0</v>
      </c>
      <c r="F64" s="7">
        <f t="shared" si="11"/>
        <v>314.82058587179876</v>
      </c>
      <c r="G64" s="7"/>
      <c r="H64" s="7">
        <f>VLOOKUP($A64,GovGener!$A$29:$M$136,11)</f>
        <v>788.98968170772946</v>
      </c>
      <c r="I64" s="7">
        <f t="shared" si="4"/>
        <v>817.64452990072687</v>
      </c>
      <c r="J64" s="7">
        <f t="shared" si="5"/>
        <v>917.92023659269239</v>
      </c>
      <c r="K64" s="65">
        <f t="shared" si="6"/>
        <v>1714.4163188483433</v>
      </c>
      <c r="M64" s="24">
        <f t="shared" si="7"/>
        <v>0.4413145264907658</v>
      </c>
      <c r="O64" s="18">
        <f t="shared" si="8"/>
        <v>0.4419599594368539</v>
      </c>
      <c r="P64" s="18">
        <f t="shared" si="9"/>
        <v>0.46900388436041213</v>
      </c>
    </row>
    <row r="65" spans="1:16">
      <c r="A65" s="4">
        <v>39814</v>
      </c>
      <c r="B65" s="12">
        <v>32.679405523474536</v>
      </c>
      <c r="C65" s="7">
        <f t="shared" si="10"/>
        <v>100.27570669196557</v>
      </c>
      <c r="D65" s="7">
        <f t="shared" si="2"/>
        <v>481.67549638385202</v>
      </c>
      <c r="E65" s="7">
        <f t="shared" si="3"/>
        <v>0</v>
      </c>
      <c r="F65" s="7">
        <f t="shared" si="11"/>
        <v>314.82058587179876</v>
      </c>
      <c r="G65" s="7"/>
      <c r="H65" s="7">
        <f>VLOOKUP($A65,GovGener!$A$29:$M$136,11)</f>
        <v>788.90412032550864</v>
      </c>
      <c r="I65" s="7">
        <f t="shared" si="4"/>
        <v>821.58352584898319</v>
      </c>
      <c r="J65" s="7">
        <f t="shared" si="5"/>
        <v>921.85923254094871</v>
      </c>
      <c r="K65" s="65">
        <f t="shared" si="6"/>
        <v>1718.3553147965995</v>
      </c>
      <c r="M65" s="24">
        <f t="shared" si="7"/>
        <v>0.44232847865200131</v>
      </c>
      <c r="O65" s="18">
        <f t="shared" si="8"/>
        <v>0.44229050207275811</v>
      </c>
      <c r="P65" s="18">
        <f t="shared" si="9"/>
        <v>0.47275422031835901</v>
      </c>
    </row>
    <row r="66" spans="1:16">
      <c r="A66" s="4">
        <v>39845</v>
      </c>
      <c r="B66" s="12">
        <v>32.679405523474536</v>
      </c>
      <c r="C66" s="7">
        <f t="shared" si="10"/>
        <v>100.27570669196557</v>
      </c>
      <c r="D66" s="7">
        <f t="shared" si="2"/>
        <v>481.67549638385202</v>
      </c>
      <c r="E66" s="7">
        <f t="shared" si="3"/>
        <v>0</v>
      </c>
      <c r="F66" s="7">
        <f t="shared" si="11"/>
        <v>314.82058587179876</v>
      </c>
      <c r="G66" s="7"/>
      <c r="H66" s="7">
        <f>VLOOKUP($A66,GovGener!$A$29:$M$136,11)</f>
        <v>788.54825182902186</v>
      </c>
      <c r="I66" s="7">
        <f t="shared" si="4"/>
        <v>821.22765735249641</v>
      </c>
      <c r="J66" s="7">
        <f t="shared" si="5"/>
        <v>921.50336404446193</v>
      </c>
      <c r="K66" s="65">
        <f t="shared" si="6"/>
        <v>1717.9994463001128</v>
      </c>
      <c r="M66" s="24">
        <f t="shared" si="7"/>
        <v>0.44223687316779459</v>
      </c>
      <c r="O66" s="18">
        <f t="shared" si="8"/>
        <v>0.45530508862792152</v>
      </c>
      <c r="P66" s="18">
        <f t="shared" si="9"/>
        <v>0.47595197704046233</v>
      </c>
    </row>
    <row r="67" spans="1:16">
      <c r="A67" s="4">
        <v>39873</v>
      </c>
      <c r="B67" s="12">
        <v>32.679405523474536</v>
      </c>
      <c r="C67" s="7">
        <f t="shared" si="10"/>
        <v>100.27570669196557</v>
      </c>
      <c r="D67" s="7">
        <f t="shared" si="2"/>
        <v>481.67549638385202</v>
      </c>
      <c r="E67" s="7">
        <f t="shared" si="3"/>
        <v>0</v>
      </c>
      <c r="F67" s="7">
        <f t="shared" si="11"/>
        <v>314.82058587179876</v>
      </c>
      <c r="G67" s="7"/>
      <c r="H67" s="7">
        <f>VLOOKUP($A67,GovGener!$A$29:$M$136,11)</f>
        <v>788.81739518448489</v>
      </c>
      <c r="I67" s="7">
        <f t="shared" si="4"/>
        <v>821.49680070795944</v>
      </c>
      <c r="J67" s="7">
        <f t="shared" si="5"/>
        <v>921.77250739992496</v>
      </c>
      <c r="K67" s="65">
        <f t="shared" si="6"/>
        <v>1718.2685896555759</v>
      </c>
      <c r="M67" s="24">
        <f t="shared" si="7"/>
        <v>0.44230615439847848</v>
      </c>
      <c r="O67" s="18">
        <f t="shared" si="8"/>
        <v>0.46835615270300951</v>
      </c>
      <c r="P67" s="18">
        <f t="shared" si="9"/>
        <v>0.4791735725603874</v>
      </c>
    </row>
    <row r="68" spans="1:16">
      <c r="A68" s="4">
        <v>39904</v>
      </c>
      <c r="B68" s="12">
        <v>34.12824616244631</v>
      </c>
      <c r="C68" s="7">
        <f t="shared" si="10"/>
        <v>100.27570669196557</v>
      </c>
      <c r="D68" s="7">
        <f t="shared" si="2"/>
        <v>481.67549638385202</v>
      </c>
      <c r="E68" s="7">
        <f t="shared" si="3"/>
        <v>0</v>
      </c>
      <c r="F68" s="7">
        <f t="shared" si="11"/>
        <v>314.82058587179876</v>
      </c>
      <c r="G68" s="7"/>
      <c r="H68" s="7">
        <f>VLOOKUP($A68,GovGener!$A$29:$M$136,11)</f>
        <v>939.13226900292989</v>
      </c>
      <c r="I68" s="7">
        <f t="shared" si="4"/>
        <v>973.26051516537621</v>
      </c>
      <c r="J68" s="7">
        <f t="shared" si="5"/>
        <v>1073.5362218573418</v>
      </c>
      <c r="K68" s="65">
        <f t="shared" si="6"/>
        <v>1870.0323041129925</v>
      </c>
      <c r="M68" s="24">
        <f t="shared" si="7"/>
        <v>0.48137223831749137</v>
      </c>
      <c r="O68" s="18">
        <f t="shared" si="8"/>
        <v>0.48140547696418107</v>
      </c>
      <c r="P68" s="18">
        <f t="shared" si="9"/>
        <v>0.48243498885500569</v>
      </c>
    </row>
    <row r="69" spans="1:16">
      <c r="A69" s="4">
        <v>39934</v>
      </c>
      <c r="B69" s="12">
        <v>34.12824616244631</v>
      </c>
      <c r="C69" s="7">
        <f t="shared" si="10"/>
        <v>100.27570669196557</v>
      </c>
      <c r="D69" s="7">
        <f t="shared" si="2"/>
        <v>481.67549638385202</v>
      </c>
      <c r="E69" s="7">
        <f t="shared" si="3"/>
        <v>0</v>
      </c>
      <c r="F69" s="7">
        <f t="shared" si="11"/>
        <v>314.82058587179876</v>
      </c>
      <c r="G69" s="7"/>
      <c r="H69" s="7">
        <f>VLOOKUP($A69,GovGener!$A$29:$M$136,11)</f>
        <v>939.20152353101639</v>
      </c>
      <c r="I69" s="7">
        <f t="shared" si="4"/>
        <v>973.32976969346271</v>
      </c>
      <c r="J69" s="7">
        <f t="shared" si="5"/>
        <v>1073.6054763854283</v>
      </c>
      <c r="K69" s="65">
        <f t="shared" si="6"/>
        <v>1870.101558641079</v>
      </c>
      <c r="M69" s="24">
        <f t="shared" si="7"/>
        <v>0.48139006539305862</v>
      </c>
      <c r="O69" s="18">
        <f t="shared" si="8"/>
        <v>0.48193865438224259</v>
      </c>
      <c r="P69" s="18">
        <f t="shared" si="9"/>
        <v>0.4824765448438974</v>
      </c>
    </row>
    <row r="70" spans="1:16">
      <c r="A70" s="4">
        <v>39965</v>
      </c>
      <c r="B70" s="12">
        <v>34.12824616244631</v>
      </c>
      <c r="C70" s="7">
        <f t="shared" si="10"/>
        <v>100.27570669196557</v>
      </c>
      <c r="D70" s="7">
        <f t="shared" si="2"/>
        <v>481.67549638385202</v>
      </c>
      <c r="E70" s="7">
        <f t="shared" si="3"/>
        <v>0</v>
      </c>
      <c r="F70" s="7">
        <f t="shared" si="11"/>
        <v>314.82058587179876</v>
      </c>
      <c r="G70" s="7"/>
      <c r="H70" s="7">
        <f>VLOOKUP($A70,GovGener!$A$29:$M$136,11)</f>
        <v>939.45039042700876</v>
      </c>
      <c r="I70" s="7">
        <f t="shared" si="4"/>
        <v>973.57863658945507</v>
      </c>
      <c r="J70" s="7">
        <f t="shared" si="5"/>
        <v>1073.8543432814206</v>
      </c>
      <c r="K70" s="65">
        <f t="shared" si="6"/>
        <v>1870.3504255370713</v>
      </c>
      <c r="M70" s="24">
        <f t="shared" si="7"/>
        <v>0.48145412718199321</v>
      </c>
      <c r="O70" s="18">
        <f t="shared" si="8"/>
        <v>0.48263030899312853</v>
      </c>
      <c r="P70" s="18">
        <f t="shared" si="9"/>
        <v>0.4825182881999015</v>
      </c>
    </row>
    <row r="71" spans="1:16">
      <c r="A71" s="4">
        <v>39995</v>
      </c>
      <c r="B71" s="12">
        <v>32.518423230255451</v>
      </c>
      <c r="C71" s="7">
        <f t="shared" si="10"/>
        <v>100.27570669196557</v>
      </c>
      <c r="D71" s="7">
        <f t="shared" si="2"/>
        <v>481.67549638385202</v>
      </c>
      <c r="E71" s="7">
        <f t="shared" si="3"/>
        <v>0</v>
      </c>
      <c r="F71" s="7">
        <f t="shared" si="11"/>
        <v>314.82058587179876</v>
      </c>
      <c r="G71" s="7"/>
      <c r="H71" s="7">
        <f>VLOOKUP($A71,GovGener!$A$29:$M$136,11)</f>
        <v>946.95594630539074</v>
      </c>
      <c r="I71" s="7">
        <f t="shared" si="4"/>
        <v>979.47436953564625</v>
      </c>
      <c r="J71" s="7">
        <f t="shared" si="5"/>
        <v>1079.7500762276118</v>
      </c>
      <c r="K71" s="65">
        <f t="shared" si="6"/>
        <v>1876.2461584832627</v>
      </c>
      <c r="M71" s="24">
        <f t="shared" si="7"/>
        <v>0.48297177057167601</v>
      </c>
      <c r="O71" s="18">
        <f t="shared" si="8"/>
        <v>0.4832781768822037</v>
      </c>
      <c r="P71" s="18">
        <f t="shared" si="9"/>
        <v>0.4820414318969013</v>
      </c>
    </row>
    <row r="72" spans="1:16">
      <c r="A72" s="4">
        <v>40026</v>
      </c>
      <c r="B72" s="12">
        <v>32.518423230255451</v>
      </c>
      <c r="C72" s="7">
        <f t="shared" si="10"/>
        <v>100.27570669196557</v>
      </c>
      <c r="D72" s="7">
        <f t="shared" si="2"/>
        <v>481.67549638385202</v>
      </c>
      <c r="E72" s="7">
        <f t="shared" si="3"/>
        <v>0</v>
      </c>
      <c r="F72" s="7">
        <f t="shared" si="11"/>
        <v>314.82058587179876</v>
      </c>
      <c r="G72" s="7"/>
      <c r="H72" s="7">
        <f>VLOOKUP($A72,GovGener!$A$29:$M$136,11)</f>
        <v>948.87215489390996</v>
      </c>
      <c r="I72" s="7">
        <f t="shared" si="4"/>
        <v>981.39057812416536</v>
      </c>
      <c r="J72" s="7">
        <f t="shared" si="5"/>
        <v>1081.6662848161309</v>
      </c>
      <c r="K72" s="65">
        <f t="shared" si="6"/>
        <v>1878.1623670717818</v>
      </c>
      <c r="M72" s="24">
        <f t="shared" si="7"/>
        <v>0.48346502922571627</v>
      </c>
      <c r="O72" s="18">
        <f t="shared" si="8"/>
        <v>0.48326842144302679</v>
      </c>
      <c r="P72" s="18">
        <f t="shared" si="9"/>
        <v>0.48109835857195615</v>
      </c>
    </row>
    <row r="73" spans="1:16">
      <c r="A73" s="4">
        <v>40057</v>
      </c>
      <c r="B73" s="12">
        <v>32.518423230255451</v>
      </c>
      <c r="C73" s="7">
        <f t="shared" si="10"/>
        <v>100.27570669196557</v>
      </c>
      <c r="D73" s="7">
        <f t="shared" si="2"/>
        <v>481.67549638385202</v>
      </c>
      <c r="E73" s="7">
        <f t="shared" si="3"/>
        <v>0</v>
      </c>
      <c r="F73" s="7">
        <f t="shared" si="11"/>
        <v>314.82058587179876</v>
      </c>
      <c r="G73" s="7"/>
      <c r="H73" s="7">
        <f>VLOOKUP($A73,GovGener!$A$29:$M$136,11)</f>
        <v>948.61071451981525</v>
      </c>
      <c r="I73" s="7">
        <f t="shared" si="4"/>
        <v>981.12913775007064</v>
      </c>
      <c r="J73" s="7">
        <f t="shared" si="5"/>
        <v>1081.4048444420362</v>
      </c>
      <c r="K73" s="65">
        <f t="shared" si="6"/>
        <v>1877.9009266976871</v>
      </c>
      <c r="M73" s="24">
        <f t="shared" si="7"/>
        <v>0.48339773084921889</v>
      </c>
      <c r="O73" s="18">
        <f t="shared" si="8"/>
        <v>0.48306911630865668</v>
      </c>
      <c r="P73" s="18">
        <f t="shared" si="9"/>
        <v>0.4801085900382383</v>
      </c>
    </row>
    <row r="74" spans="1:16">
      <c r="A74" s="4">
        <v>40087</v>
      </c>
      <c r="B74" s="12">
        <v>31.230564884502758</v>
      </c>
      <c r="C74" s="7">
        <f t="shared" si="10"/>
        <v>100.27570669196557</v>
      </c>
      <c r="D74" s="7">
        <f t="shared" si="2"/>
        <v>481.67549638385202</v>
      </c>
      <c r="E74" s="7">
        <f t="shared" si="3"/>
        <v>0</v>
      </c>
      <c r="F74" s="7">
        <f t="shared" si="11"/>
        <v>314.82058587179876</v>
      </c>
      <c r="G74" s="7"/>
      <c r="H74" s="7">
        <f>VLOOKUP($A74,GovGener!$A$29:$M$136,11)</f>
        <v>948.13011101688653</v>
      </c>
      <c r="I74" s="7">
        <f t="shared" si="4"/>
        <v>979.3606759013893</v>
      </c>
      <c r="J74" s="7">
        <f t="shared" si="5"/>
        <v>1079.6363825933549</v>
      </c>
      <c r="K74" s="65">
        <f t="shared" si="6"/>
        <v>1876.1324648490056</v>
      </c>
      <c r="M74" s="24">
        <f t="shared" si="7"/>
        <v>0.48294250425414531</v>
      </c>
      <c r="O74" s="18">
        <f t="shared" si="8"/>
        <v>0.4840427253542931</v>
      </c>
      <c r="P74" s="18">
        <f t="shared" si="9"/>
        <v>0.47912044318299268</v>
      </c>
    </row>
    <row r="75" spans="1:16">
      <c r="A75" s="4">
        <v>40118</v>
      </c>
      <c r="B75" s="12">
        <v>31.230564884502758</v>
      </c>
      <c r="C75" s="7">
        <f t="shared" si="10"/>
        <v>100.27570669196557</v>
      </c>
      <c r="D75" s="7">
        <f t="shared" si="2"/>
        <v>481.67549638385202</v>
      </c>
      <c r="E75" s="7">
        <f t="shared" si="3"/>
        <v>0</v>
      </c>
      <c r="F75" s="7">
        <f t="shared" si="11"/>
        <v>314.82058587179876</v>
      </c>
      <c r="G75" s="7"/>
      <c r="H75" s="7">
        <f>VLOOKUP($A75,GovGener!$A$29:$M$136,11)</f>
        <v>947.83723467052187</v>
      </c>
      <c r="I75" s="7">
        <f t="shared" si="4"/>
        <v>979.06779955502464</v>
      </c>
      <c r="J75" s="7">
        <f t="shared" si="5"/>
        <v>1079.3435062469903</v>
      </c>
      <c r="K75" s="65">
        <f t="shared" si="6"/>
        <v>1875.8395885026409</v>
      </c>
      <c r="M75" s="24">
        <f t="shared" si="7"/>
        <v>0.48286711382260589</v>
      </c>
      <c r="O75" s="18">
        <f t="shared" si="8"/>
        <v>0.48329574370865824</v>
      </c>
      <c r="P75" s="18">
        <f t="shared" si="9"/>
        <v>0.47815441035204431</v>
      </c>
    </row>
    <row r="76" spans="1:16">
      <c r="A76" s="4">
        <v>40148</v>
      </c>
      <c r="B76" s="12">
        <v>31.230564884502758</v>
      </c>
      <c r="C76" s="7">
        <f t="shared" si="10"/>
        <v>100.27570669196557</v>
      </c>
      <c r="D76" s="7">
        <f t="shared" si="2"/>
        <v>481.67549638385202</v>
      </c>
      <c r="E76" s="7">
        <f t="shared" si="3"/>
        <v>0</v>
      </c>
      <c r="F76" s="7">
        <f t="shared" si="11"/>
        <v>314.82058587179876</v>
      </c>
      <c r="G76" s="7"/>
      <c r="H76" s="7">
        <f>VLOOKUP($A76,GovGener!$A$29:$M$136,11)</f>
        <v>961.24538654938397</v>
      </c>
      <c r="I76" s="7">
        <f t="shared" si="4"/>
        <v>992.47595143388673</v>
      </c>
      <c r="J76" s="7">
        <f t="shared" si="5"/>
        <v>1092.7516581258524</v>
      </c>
      <c r="K76" s="65">
        <f t="shared" si="6"/>
        <v>1889.247740381503</v>
      </c>
      <c r="M76" s="24">
        <f t="shared" si="7"/>
        <v>0.48631855798612805</v>
      </c>
      <c r="O76" s="18">
        <f t="shared" si="8"/>
        <v>0.48263871223675481</v>
      </c>
      <c r="P76" s="18">
        <f t="shared" si="9"/>
        <v>0.4771919673715963</v>
      </c>
    </row>
    <row r="77" spans="1:16">
      <c r="A77" s="4">
        <v>40179</v>
      </c>
      <c r="B77" s="12">
        <v>30.58663571162641</v>
      </c>
      <c r="C77" s="7">
        <f t="shared" si="10"/>
        <v>100.27570669196557</v>
      </c>
      <c r="D77" s="7">
        <f t="shared" si="2"/>
        <v>481.67549638385202</v>
      </c>
      <c r="E77" s="7">
        <f t="shared" si="3"/>
        <v>0</v>
      </c>
      <c r="F77" s="7">
        <f t="shared" si="11"/>
        <v>314.82058587179876</v>
      </c>
      <c r="G77" s="7"/>
      <c r="H77" s="7">
        <f>VLOOKUP($A77,GovGener!$A$29:$M$136,11)</f>
        <v>940.06842925050842</v>
      </c>
      <c r="I77" s="7">
        <f t="shared" si="4"/>
        <v>970.65506496213482</v>
      </c>
      <c r="J77" s="7">
        <f t="shared" si="5"/>
        <v>1070.9307716541005</v>
      </c>
      <c r="K77" s="65">
        <f t="shared" si="6"/>
        <v>1867.4268539097511</v>
      </c>
      <c r="M77" s="24">
        <f t="shared" si="7"/>
        <v>0.48070155931724068</v>
      </c>
      <c r="O77" s="18">
        <f t="shared" si="8"/>
        <v>0.48101357621934532</v>
      </c>
      <c r="P77" s="18">
        <f t="shared" si="9"/>
        <v>0.47536779348903274</v>
      </c>
    </row>
    <row r="78" spans="1:16">
      <c r="A78" s="4">
        <v>40210</v>
      </c>
      <c r="B78" s="12">
        <v>30.58663571162641</v>
      </c>
      <c r="C78" s="7">
        <f t="shared" si="10"/>
        <v>100.27570669196557</v>
      </c>
      <c r="D78" s="7">
        <f t="shared" si="2"/>
        <v>481.67549638385202</v>
      </c>
      <c r="E78" s="7">
        <f t="shared" si="3"/>
        <v>0</v>
      </c>
      <c r="F78" s="7">
        <f t="shared" si="11"/>
        <v>314.82058587179876</v>
      </c>
      <c r="G78" s="7"/>
      <c r="H78" s="7">
        <f>VLOOKUP($A78,GovGener!$A$29:$M$136,11)</f>
        <v>940.82386676968611</v>
      </c>
      <c r="I78" s="7">
        <f t="shared" si="4"/>
        <v>971.41050248131251</v>
      </c>
      <c r="J78" s="7">
        <f t="shared" si="5"/>
        <v>1071.686209173278</v>
      </c>
      <c r="K78" s="65">
        <f t="shared" si="6"/>
        <v>1868.1822914289287</v>
      </c>
      <c r="M78" s="24">
        <f t="shared" si="7"/>
        <v>0.48089601940689564</v>
      </c>
      <c r="O78" s="18">
        <f t="shared" si="8"/>
        <v>0.48140335984166199</v>
      </c>
      <c r="P78" s="18">
        <f t="shared" si="9"/>
        <v>0.47223121360769688</v>
      </c>
    </row>
    <row r="79" spans="1:16">
      <c r="A79" s="4">
        <v>40238</v>
      </c>
      <c r="B79" s="12">
        <v>30.58663571162641</v>
      </c>
      <c r="C79" s="7">
        <f t="shared" si="10"/>
        <v>100.27570669196557</v>
      </c>
      <c r="D79" s="7">
        <f t="shared" si="2"/>
        <v>481.67549638385202</v>
      </c>
      <c r="E79" s="7">
        <f t="shared" si="3"/>
        <v>0</v>
      </c>
      <c r="F79" s="7">
        <f t="shared" si="11"/>
        <v>314.82058587179876</v>
      </c>
      <c r="G79" s="7"/>
      <c r="H79" s="7">
        <f>VLOOKUP($A79,GovGener!$A$29:$M$136,11)</f>
        <v>942.94935652297977</v>
      </c>
      <c r="I79" s="7">
        <f t="shared" si="4"/>
        <v>973.53599223460617</v>
      </c>
      <c r="J79" s="7">
        <f t="shared" si="5"/>
        <v>1073.8116989265718</v>
      </c>
      <c r="K79" s="65">
        <f t="shared" si="6"/>
        <v>1870.3077811822225</v>
      </c>
      <c r="M79" s="24">
        <f t="shared" si="7"/>
        <v>0.48144314993389969</v>
      </c>
      <c r="O79" s="18">
        <f t="shared" si="8"/>
        <v>0.48173501526106577</v>
      </c>
      <c r="P79" s="18">
        <f t="shared" si="9"/>
        <v>0.46906472958364542</v>
      </c>
    </row>
    <row r="80" spans="1:16">
      <c r="A80" s="4">
        <v>40269</v>
      </c>
      <c r="B80" s="12">
        <v>30.197822545800655</v>
      </c>
      <c r="C80" s="7">
        <f t="shared" si="10"/>
        <v>100.27570669196557</v>
      </c>
      <c r="D80" s="7">
        <f t="shared" si="2"/>
        <v>481.67549638385202</v>
      </c>
      <c r="E80" s="7">
        <f t="shared" si="3"/>
        <v>0</v>
      </c>
      <c r="F80" s="7">
        <f t="shared" si="11"/>
        <v>314.82058587179876</v>
      </c>
      <c r="G80" s="7"/>
      <c r="H80" s="7">
        <f>VLOOKUP($A80,GovGener!$A$29:$M$136,11)</f>
        <v>944.99993042776134</v>
      </c>
      <c r="I80" s="7">
        <f t="shared" si="4"/>
        <v>975.19775297356205</v>
      </c>
      <c r="J80" s="7">
        <f t="shared" si="5"/>
        <v>1075.4734596655276</v>
      </c>
      <c r="K80" s="65">
        <f t="shared" si="6"/>
        <v>1871.9695419211785</v>
      </c>
      <c r="M80" s="24">
        <f t="shared" si="7"/>
        <v>0.48187091018419054</v>
      </c>
      <c r="O80" s="18">
        <f t="shared" si="8"/>
        <v>0.47983124913176284</v>
      </c>
      <c r="P80" s="18">
        <f t="shared" si="9"/>
        <v>0.46583909086645797</v>
      </c>
    </row>
    <row r="81" spans="1:16">
      <c r="A81" s="4">
        <v>40299</v>
      </c>
      <c r="B81" s="12">
        <v>30.197822545800655</v>
      </c>
      <c r="C81" s="7">
        <f t="shared" si="10"/>
        <v>100.27570669196557</v>
      </c>
      <c r="D81" s="7">
        <f t="shared" si="2"/>
        <v>481.67549638385202</v>
      </c>
      <c r="E81" s="7">
        <f t="shared" si="3"/>
        <v>0</v>
      </c>
      <c r="F81" s="7">
        <f t="shared" si="11"/>
        <v>314.82058587179876</v>
      </c>
      <c r="G81" s="7"/>
      <c r="H81" s="7">
        <f>VLOOKUP($A81,GovGener!$A$29:$M$136,11)</f>
        <v>945.0779195489572</v>
      </c>
      <c r="I81" s="7">
        <f t="shared" si="4"/>
        <v>975.2757420947579</v>
      </c>
      <c r="J81" s="7">
        <f t="shared" si="5"/>
        <v>1075.5514487867235</v>
      </c>
      <c r="K81" s="65">
        <f t="shared" si="6"/>
        <v>1872.0475310423742</v>
      </c>
      <c r="M81" s="24">
        <f t="shared" si="7"/>
        <v>0.48189098566510702</v>
      </c>
      <c r="O81" s="18">
        <f t="shared" si="8"/>
        <v>0.47642590929447765</v>
      </c>
      <c r="P81" s="18">
        <f t="shared" si="9"/>
        <v>0.462566181396036</v>
      </c>
    </row>
    <row r="82" spans="1:16">
      <c r="A82" s="4">
        <v>40330</v>
      </c>
      <c r="B82" s="12">
        <v>30.197822545800655</v>
      </c>
      <c r="C82" s="7">
        <f t="shared" si="10"/>
        <v>100.27570669196557</v>
      </c>
      <c r="D82" s="7">
        <f t="shared" si="2"/>
        <v>481.67549638385202</v>
      </c>
      <c r="E82" s="7">
        <f t="shared" si="3"/>
        <v>0</v>
      </c>
      <c r="F82" s="7">
        <f t="shared" si="11"/>
        <v>314.82058587179876</v>
      </c>
      <c r="G82" s="7"/>
      <c r="H82" s="7">
        <f>VLOOKUP($A82,GovGener!$A$29:$M$136,11)</f>
        <v>921.1509481715284</v>
      </c>
      <c r="I82" s="7">
        <f t="shared" si="4"/>
        <v>951.3487707173291</v>
      </c>
      <c r="J82" s="7">
        <f t="shared" si="5"/>
        <v>1051.6244774092947</v>
      </c>
      <c r="K82" s="65">
        <f t="shared" si="6"/>
        <v>1848.1205596649454</v>
      </c>
      <c r="M82" s="24">
        <f t="shared" si="7"/>
        <v>0.47573185154599101</v>
      </c>
      <c r="O82" s="18">
        <f t="shared" si="8"/>
        <v>0.47299151634647635</v>
      </c>
      <c r="P82" s="18">
        <f t="shared" si="9"/>
        <v>0.45928560715622818</v>
      </c>
    </row>
    <row r="83" spans="1:16">
      <c r="A83" s="4">
        <v>40360</v>
      </c>
      <c r="B83" s="12">
        <v>29.809009379974899</v>
      </c>
      <c r="C83" s="7">
        <f t="shared" si="10"/>
        <v>100.27570669196557</v>
      </c>
      <c r="D83" s="7">
        <f t="shared" si="2"/>
        <v>481.67549638385202</v>
      </c>
      <c r="E83" s="7">
        <f t="shared" si="3"/>
        <v>0</v>
      </c>
      <c r="F83" s="7">
        <f t="shared" si="11"/>
        <v>314.82058587179876</v>
      </c>
      <c r="G83" s="7"/>
      <c r="H83" s="7">
        <f>VLOOKUP($A83,GovGener!$A$29:$M$136,11)</f>
        <v>905.70160547903288</v>
      </c>
      <c r="I83" s="7">
        <f t="shared" si="4"/>
        <v>935.51061485900777</v>
      </c>
      <c r="J83" s="7">
        <f t="shared" si="5"/>
        <v>1035.7863215509733</v>
      </c>
      <c r="K83" s="65">
        <f t="shared" si="6"/>
        <v>1832.2824038066242</v>
      </c>
      <c r="M83" s="24">
        <f t="shared" si="7"/>
        <v>0.47165489067233507</v>
      </c>
      <c r="O83" s="18">
        <f t="shared" si="8"/>
        <v>0.47159422202656964</v>
      </c>
      <c r="P83" s="18">
        <f t="shared" si="9"/>
        <v>0.4565225760901373</v>
      </c>
    </row>
    <row r="84" spans="1:16">
      <c r="A84" s="4">
        <v>40391</v>
      </c>
      <c r="B84" s="12">
        <v>29.809009379974899</v>
      </c>
      <c r="C84" s="7">
        <f t="shared" si="10"/>
        <v>100.27570669196557</v>
      </c>
      <c r="D84" s="7">
        <f t="shared" si="2"/>
        <v>481.67549638385202</v>
      </c>
      <c r="E84" s="7">
        <f t="shared" si="3"/>
        <v>0</v>
      </c>
      <c r="F84" s="7">
        <f t="shared" si="11"/>
        <v>314.82058587179876</v>
      </c>
      <c r="G84" s="7"/>
      <c r="H84" s="7">
        <f>VLOOKUP($A84,GovGener!$A$29:$M$136,11)</f>
        <v>905.44099849154463</v>
      </c>
      <c r="I84" s="7">
        <f t="shared" si="4"/>
        <v>935.25000787151953</v>
      </c>
      <c r="J84" s="7">
        <f t="shared" si="5"/>
        <v>1035.5257145634851</v>
      </c>
      <c r="K84" s="65">
        <f t="shared" si="6"/>
        <v>1832.0217968191359</v>
      </c>
      <c r="M84" s="24">
        <f t="shared" si="7"/>
        <v>0.47158780682110291</v>
      </c>
      <c r="O84" s="18">
        <f t="shared" si="8"/>
        <v>0.47149262856337959</v>
      </c>
      <c r="P84" s="18">
        <f t="shared" si="9"/>
        <v>0.45408683509817055</v>
      </c>
    </row>
    <row r="85" spans="1:16">
      <c r="A85" s="4">
        <v>40422</v>
      </c>
      <c r="B85" s="12">
        <v>29.809009379974899</v>
      </c>
      <c r="C85" s="7">
        <f t="shared" si="10"/>
        <v>100.27570669196557</v>
      </c>
      <c r="D85" s="7">
        <f t="shared" si="2"/>
        <v>481.67549638385202</v>
      </c>
      <c r="E85" s="7">
        <f t="shared" si="3"/>
        <v>0</v>
      </c>
      <c r="F85" s="7">
        <f t="shared" si="11"/>
        <v>314.82058587179876</v>
      </c>
      <c r="G85" s="7"/>
      <c r="H85" s="7">
        <f>VLOOKUP($A85,GovGener!$A$29:$M$136,11)</f>
        <v>905.25515677200531</v>
      </c>
      <c r="I85" s="7">
        <f t="shared" si="4"/>
        <v>935.0641661519802</v>
      </c>
      <c r="J85" s="7">
        <f t="shared" si="5"/>
        <v>1035.3398728439458</v>
      </c>
      <c r="K85" s="65">
        <f t="shared" si="6"/>
        <v>1831.8359550995965</v>
      </c>
      <c r="M85" s="24">
        <f t="shared" si="7"/>
        <v>0.47153996858627095</v>
      </c>
      <c r="O85" s="18">
        <f t="shared" si="8"/>
        <v>0.47140262564208829</v>
      </c>
      <c r="P85" s="18">
        <f t="shared" si="9"/>
        <v>0.45164748294348417</v>
      </c>
    </row>
    <row r="86" spans="1:16">
      <c r="A86" s="4">
        <v>40452</v>
      </c>
      <c r="B86" s="12">
        <v>29.420196214149136</v>
      </c>
      <c r="C86" s="7">
        <f t="shared" si="10"/>
        <v>100.27570669196557</v>
      </c>
      <c r="D86" s="7">
        <f t="shared" si="2"/>
        <v>481.67549638385202</v>
      </c>
      <c r="E86" s="7">
        <f t="shared" si="3"/>
        <v>0</v>
      </c>
      <c r="F86" s="7">
        <f t="shared" si="11"/>
        <v>314.82058587179876</v>
      </c>
      <c r="G86" s="7"/>
      <c r="H86" s="7">
        <f>VLOOKUP($A86,GovGener!$A$29:$M$136,11)</f>
        <v>904.90640941294168</v>
      </c>
      <c r="I86" s="7">
        <f t="shared" si="4"/>
        <v>934.32660562709077</v>
      </c>
      <c r="J86" s="7">
        <f t="shared" si="5"/>
        <v>1034.6023123190564</v>
      </c>
      <c r="K86" s="65">
        <f t="shared" si="6"/>
        <v>1831.0983945747071</v>
      </c>
      <c r="M86" s="24">
        <f t="shared" si="7"/>
        <v>0.4713501102827648</v>
      </c>
      <c r="O86" s="18">
        <f t="shared" si="8"/>
        <v>0.46903212657845311</v>
      </c>
      <c r="P86" s="18">
        <f t="shared" si="9"/>
        <v>0.4492065023049005</v>
      </c>
    </row>
    <row r="87" spans="1:16">
      <c r="A87" s="4">
        <v>40483</v>
      </c>
      <c r="B87" s="12">
        <v>29.420196214149136</v>
      </c>
      <c r="C87" s="7">
        <f t="shared" si="10"/>
        <v>100.27570669196557</v>
      </c>
      <c r="D87" s="7">
        <f t="shared" si="2"/>
        <v>481.67549638385202</v>
      </c>
      <c r="E87" s="7">
        <f t="shared" si="3"/>
        <v>0</v>
      </c>
      <c r="F87" s="7">
        <f t="shared" si="11"/>
        <v>314.82058587179876</v>
      </c>
      <c r="G87" s="7"/>
      <c r="H87" s="7">
        <f>VLOOKUP($A87,GovGener!$A$29:$M$136,11)</f>
        <v>904.7808830515113</v>
      </c>
      <c r="I87" s="7">
        <f t="shared" si="4"/>
        <v>934.20107926566038</v>
      </c>
      <c r="J87" s="7">
        <f t="shared" si="5"/>
        <v>1034.4767859576259</v>
      </c>
      <c r="K87" s="65">
        <f t="shared" si="6"/>
        <v>1830.9728682132768</v>
      </c>
      <c r="M87" s="24">
        <f t="shared" si="7"/>
        <v>0.47131779805722912</v>
      </c>
      <c r="O87" s="18">
        <f t="shared" si="8"/>
        <v>0.45960295673126811</v>
      </c>
      <c r="P87" s="18">
        <f t="shared" si="9"/>
        <v>0.44680030013145977</v>
      </c>
    </row>
    <row r="88" spans="1:16">
      <c r="A88" s="4">
        <v>40513</v>
      </c>
      <c r="B88" s="12">
        <v>29.420196214149136</v>
      </c>
      <c r="C88" s="7">
        <f t="shared" si="10"/>
        <v>100.27570669196557</v>
      </c>
      <c r="D88" s="7">
        <f t="shared" si="2"/>
        <v>481.67549638385202</v>
      </c>
      <c r="E88" s="7">
        <f t="shared" si="3"/>
        <v>0</v>
      </c>
      <c r="F88" s="7">
        <f t="shared" si="11"/>
        <v>314.82058587179876</v>
      </c>
      <c r="G88" s="7"/>
      <c r="H88" s="7">
        <f>VLOOKUP($A88,GovGener!$A$29:$M$136,11)</f>
        <v>878.01726357835196</v>
      </c>
      <c r="I88" s="7">
        <f t="shared" si="4"/>
        <v>907.43745979250104</v>
      </c>
      <c r="J88" s="7">
        <f t="shared" si="5"/>
        <v>1007.7131664844666</v>
      </c>
      <c r="K88" s="65">
        <f t="shared" si="6"/>
        <v>1804.2092487401173</v>
      </c>
      <c r="M88" s="24">
        <f t="shared" si="7"/>
        <v>0.46442847139536525</v>
      </c>
      <c r="O88" s="18">
        <f t="shared" si="8"/>
        <v>0.45012976108495129</v>
      </c>
      <c r="P88" s="18">
        <f t="shared" si="9"/>
        <v>0.44439379693722003</v>
      </c>
    </row>
    <row r="89" spans="1:16">
      <c r="A89" s="4">
        <v>40544</v>
      </c>
      <c r="B89" s="12">
        <v>29.031383048323374</v>
      </c>
      <c r="C89" s="7">
        <f t="shared" si="10"/>
        <v>100.27570669196557</v>
      </c>
      <c r="D89" s="7">
        <f t="shared" si="2"/>
        <v>481.67549638385202</v>
      </c>
      <c r="E89" s="7">
        <f t="shared" si="3"/>
        <v>-62.964117174359743</v>
      </c>
      <c r="F89" s="7">
        <f t="shared" si="11"/>
        <v>314.82058587179876</v>
      </c>
      <c r="G89" s="7"/>
      <c r="H89" s="7">
        <f>VLOOKUP($A89,GovGener!$A$29:$M$136,11)</f>
        <v>858.36817355188396</v>
      </c>
      <c r="I89" s="7">
        <f t="shared" si="4"/>
        <v>887.39955660020735</v>
      </c>
      <c r="J89" s="7">
        <f t="shared" si="5"/>
        <v>987.67526329217287</v>
      </c>
      <c r="K89" s="65">
        <f t="shared" si="6"/>
        <v>1721.207228373464</v>
      </c>
      <c r="M89" s="24">
        <f t="shared" si="7"/>
        <v>0.44306260074121007</v>
      </c>
      <c r="O89" s="18">
        <f t="shared" si="8"/>
        <v>0.44289876572904602</v>
      </c>
      <c r="P89" s="18">
        <f t="shared" si="9"/>
        <v>0.44255909593368953</v>
      </c>
    </row>
    <row r="90" spans="1:16">
      <c r="A90" s="4">
        <v>40575</v>
      </c>
      <c r="B90" s="12">
        <v>29.031383048323374</v>
      </c>
      <c r="C90" s="7">
        <f t="shared" si="10"/>
        <v>100.27570669196557</v>
      </c>
      <c r="D90" s="7">
        <f t="shared" si="2"/>
        <v>481.67549638385202</v>
      </c>
      <c r="E90" s="7">
        <f t="shared" si="3"/>
        <v>-62.964117174359743</v>
      </c>
      <c r="F90" s="7">
        <f t="shared" si="11"/>
        <v>314.82058587179876</v>
      </c>
      <c r="G90" s="7"/>
      <c r="H90" s="7">
        <f>VLOOKUP($A90,GovGener!$A$29:$M$136,11)</f>
        <v>857.72955362145899</v>
      </c>
      <c r="I90" s="7">
        <f t="shared" si="4"/>
        <v>886.76093666978238</v>
      </c>
      <c r="J90" s="7">
        <f t="shared" si="5"/>
        <v>987.03664336174791</v>
      </c>
      <c r="K90" s="65">
        <f t="shared" si="6"/>
        <v>1720.568608443039</v>
      </c>
      <c r="M90" s="24">
        <f t="shared" si="7"/>
        <v>0.4428982111182786</v>
      </c>
      <c r="O90" s="18">
        <f t="shared" si="8"/>
        <v>0.44274323099501828</v>
      </c>
      <c r="P90" s="18">
        <f t="shared" si="9"/>
        <v>0.4424972416590523</v>
      </c>
    </row>
    <row r="91" spans="1:16">
      <c r="A91" s="4">
        <v>40603</v>
      </c>
      <c r="B91" s="12">
        <v>29.031383048323374</v>
      </c>
      <c r="C91" s="7">
        <f t="shared" si="10"/>
        <v>100.27570669196557</v>
      </c>
      <c r="D91" s="7">
        <f t="shared" si="2"/>
        <v>481.67549638385202</v>
      </c>
      <c r="E91" s="7">
        <f t="shared" si="3"/>
        <v>-62.964117174359743</v>
      </c>
      <c r="F91" s="7">
        <f t="shared" si="11"/>
        <v>314.82058587179876</v>
      </c>
      <c r="G91" s="7"/>
      <c r="H91" s="7">
        <f>VLOOKUP($A91,GovGener!$A$29:$M$136,11)</f>
        <v>857.09739733788888</v>
      </c>
      <c r="I91" s="7">
        <f t="shared" si="4"/>
        <v>886.12878038621227</v>
      </c>
      <c r="J91" s="7">
        <f t="shared" si="5"/>
        <v>986.40448707817779</v>
      </c>
      <c r="K91" s="65">
        <f t="shared" si="6"/>
        <v>1719.9364521594689</v>
      </c>
      <c r="M91" s="24">
        <f t="shared" si="7"/>
        <v>0.44273548532764956</v>
      </c>
      <c r="O91" s="18">
        <f t="shared" si="8"/>
        <v>0.44261852555139664</v>
      </c>
      <c r="P91" s="18">
        <f t="shared" si="9"/>
        <v>0.44243857926629859</v>
      </c>
    </row>
    <row r="92" spans="1:16">
      <c r="A92" s="4">
        <v>40634</v>
      </c>
      <c r="B92" s="58">
        <f>B91</f>
        <v>29.031383048323374</v>
      </c>
      <c r="C92" s="7">
        <f t="shared" si="10"/>
        <v>100.27570669196557</v>
      </c>
      <c r="D92" s="7">
        <f t="shared" si="2"/>
        <v>481.67549638385202</v>
      </c>
      <c r="E92" s="7">
        <f t="shared" si="3"/>
        <v>-62.964117174359743</v>
      </c>
      <c r="F92" s="7">
        <f t="shared" si="11"/>
        <v>314.82058587179876</v>
      </c>
      <c r="G92" s="7"/>
      <c r="H92" s="7">
        <f>VLOOKUP($A92,GovGener!$A$29:$M$136,11)</f>
        <v>856.55551203617051</v>
      </c>
      <c r="I92" s="7">
        <f t="shared" si="4"/>
        <v>885.5868950844939</v>
      </c>
      <c r="J92" s="7">
        <f t="shared" si="5"/>
        <v>985.86260177645943</v>
      </c>
      <c r="K92" s="65">
        <f t="shared" si="6"/>
        <v>1719.3945668577505</v>
      </c>
      <c r="M92" s="24">
        <f t="shared" si="7"/>
        <v>0.44259599653912662</v>
      </c>
      <c r="O92" s="18">
        <f t="shared" si="8"/>
        <v>0.44256519002648048</v>
      </c>
      <c r="P92" s="18">
        <f t="shared" si="9"/>
        <v>0.4423934773560973</v>
      </c>
    </row>
    <row r="93" spans="1:16">
      <c r="A93" s="4">
        <v>40664</v>
      </c>
      <c r="B93" s="58">
        <f t="shared" ref="B93:B136" si="12">B92</f>
        <v>29.031383048323374</v>
      </c>
      <c r="C93" s="7">
        <f t="shared" si="10"/>
        <v>100.27570669196557</v>
      </c>
      <c r="D93" s="7">
        <f t="shared" si="2"/>
        <v>481.67549638385202</v>
      </c>
      <c r="E93" s="7">
        <f t="shared" si="3"/>
        <v>-62.964117174359743</v>
      </c>
      <c r="F93" s="7">
        <f t="shared" si="11"/>
        <v>314.82058587179876</v>
      </c>
      <c r="G93" s="7"/>
      <c r="H93" s="7">
        <f>VLOOKUP($A93,GovGener!$A$29:$M$136,11)</f>
        <v>856.27618849459043</v>
      </c>
      <c r="I93" s="7">
        <f t="shared" si="4"/>
        <v>885.30757154291382</v>
      </c>
      <c r="J93" s="7">
        <f t="shared" si="5"/>
        <v>985.58327823487934</v>
      </c>
      <c r="K93" s="65">
        <f t="shared" si="6"/>
        <v>1719.1152433161706</v>
      </c>
      <c r="M93" s="24">
        <f t="shared" si="7"/>
        <v>0.44252409478741389</v>
      </c>
      <c r="O93" s="18">
        <f t="shared" si="8"/>
        <v>0.44250852410301617</v>
      </c>
      <c r="P93" s="18">
        <f t="shared" si="9"/>
        <v>0.44235999951160632</v>
      </c>
    </row>
    <row r="94" spans="1:16">
      <c r="A94" s="4">
        <v>40695</v>
      </c>
      <c r="B94" s="58">
        <f t="shared" si="12"/>
        <v>29.031383048323374</v>
      </c>
      <c r="C94" s="7">
        <f t="shared" si="10"/>
        <v>100.27570669196557</v>
      </c>
      <c r="D94" s="7">
        <f t="shared" ref="D94:D136" si="13">IF($A94&lt;D$23,0,IF($A94&gt;D$24,0,$B$9))</f>
        <v>481.67549638385202</v>
      </c>
      <c r="E94" s="7">
        <f t="shared" ref="E94:E136" si="14">-IF($A94&lt;E$23,0,IF($A94&gt;E$24,0,$B$10))</f>
        <v>-62.964117174359743</v>
      </c>
      <c r="F94" s="7">
        <f t="shared" si="11"/>
        <v>314.82058587179876</v>
      </c>
      <c r="G94" s="7"/>
      <c r="H94" s="7">
        <f>VLOOKUP($A94,GovGener!$A$29:$M$136,11)</f>
        <v>856.47580464966904</v>
      </c>
      <c r="I94" s="7">
        <f t="shared" ref="I94:I136" si="15">H94+B94</f>
        <v>885.50718769799244</v>
      </c>
      <c r="J94" s="7">
        <f t="shared" ref="J94:J136" si="16">I94+C94</f>
        <v>985.78289438995796</v>
      </c>
      <c r="K94" s="65">
        <f t="shared" ref="K94:K136" si="17">H94+SUM($B94:$F94)</f>
        <v>1719.3148594712491</v>
      </c>
      <c r="M94" s="24">
        <f t="shared" ref="M94:M136" si="18">K94/$B$8</f>
        <v>0.44257547875290104</v>
      </c>
      <c r="O94" s="18">
        <f t="shared" ref="O94:O136" si="19">AVERAGE(M94:M96)</f>
        <v>0.4424390194955003</v>
      </c>
      <c r="P94" s="18">
        <f t="shared" ref="P94:P136" si="20">AVERAGE(M94:M105)</f>
        <v>0.44233251347975799</v>
      </c>
    </row>
    <row r="95" spans="1:16">
      <c r="A95" s="4">
        <v>40725</v>
      </c>
      <c r="B95" s="58">
        <f t="shared" si="12"/>
        <v>29.031383048323374</v>
      </c>
      <c r="C95" s="7">
        <f t="shared" ref="C95:C136" si="21">C94</f>
        <v>100.27570669196557</v>
      </c>
      <c r="D95" s="7">
        <f t="shared" si="13"/>
        <v>481.67549638385202</v>
      </c>
      <c r="E95" s="7">
        <f t="shared" si="14"/>
        <v>-62.964117174359743</v>
      </c>
      <c r="F95" s="7">
        <f t="shared" ref="F95:F136" si="22">F94</f>
        <v>314.82058587179876</v>
      </c>
      <c r="G95" s="7"/>
      <c r="H95" s="7">
        <f>VLOOKUP($A95,GovGener!$A$29:$M$136,11)</f>
        <v>855.8951056043968</v>
      </c>
      <c r="I95" s="7">
        <f t="shared" si="15"/>
        <v>884.9264886527202</v>
      </c>
      <c r="J95" s="7">
        <f t="shared" si="16"/>
        <v>985.20219534468572</v>
      </c>
      <c r="K95" s="65">
        <f t="shared" si="17"/>
        <v>1718.7341604259768</v>
      </c>
      <c r="M95" s="24">
        <f t="shared" si="18"/>
        <v>0.44242599876873356</v>
      </c>
      <c r="O95" s="18">
        <f t="shared" si="19"/>
        <v>0.44232992688562245</v>
      </c>
      <c r="P95" s="18">
        <f t="shared" si="20"/>
        <v>0.44219019214793925</v>
      </c>
    </row>
    <row r="96" spans="1:16">
      <c r="A96" s="4">
        <v>40756</v>
      </c>
      <c r="B96" s="58">
        <f t="shared" si="12"/>
        <v>29.031383048323374</v>
      </c>
      <c r="C96" s="7">
        <f t="shared" si="21"/>
        <v>100.27570669196557</v>
      </c>
      <c r="D96" s="7">
        <f t="shared" si="13"/>
        <v>481.67549638385202</v>
      </c>
      <c r="E96" s="7">
        <f t="shared" si="14"/>
        <v>-62.964117174359743</v>
      </c>
      <c r="F96" s="7">
        <f t="shared" si="22"/>
        <v>314.82058587179876</v>
      </c>
      <c r="G96" s="7"/>
      <c r="H96" s="7">
        <f>VLOOKUP($A96,GovGener!$A$29:$M$136,11)</f>
        <v>855.46615510882418</v>
      </c>
      <c r="I96" s="7">
        <f t="shared" si="15"/>
        <v>884.49753815714757</v>
      </c>
      <c r="J96" s="7">
        <f t="shared" si="16"/>
        <v>984.7732448491131</v>
      </c>
      <c r="K96" s="65">
        <f t="shared" si="17"/>
        <v>1718.3052099304041</v>
      </c>
      <c r="M96" s="24">
        <f t="shared" si="18"/>
        <v>0.44231558096486617</v>
      </c>
      <c r="O96" s="18">
        <f t="shared" si="19"/>
        <v>0.44234648869653642</v>
      </c>
      <c r="P96" s="18">
        <f t="shared" si="20"/>
        <v>0.44206032748146779</v>
      </c>
    </row>
    <row r="97" spans="1:16">
      <c r="A97" s="4">
        <v>40787</v>
      </c>
      <c r="B97" s="58">
        <f t="shared" si="12"/>
        <v>29.031383048323374</v>
      </c>
      <c r="C97" s="7">
        <f t="shared" si="21"/>
        <v>100.27570669196557</v>
      </c>
      <c r="D97" s="7">
        <f t="shared" si="13"/>
        <v>481.67549638385202</v>
      </c>
      <c r="E97" s="7">
        <f t="shared" si="14"/>
        <v>-62.964117174359743</v>
      </c>
      <c r="F97" s="7">
        <f t="shared" si="22"/>
        <v>314.82058587179876</v>
      </c>
      <c r="G97" s="7"/>
      <c r="H97" s="7">
        <f>VLOOKUP($A97,GovGener!$A$29:$M$136,11)</f>
        <v>855.20439748258013</v>
      </c>
      <c r="I97" s="7">
        <f t="shared" si="15"/>
        <v>884.23578053090353</v>
      </c>
      <c r="J97" s="7">
        <f t="shared" si="16"/>
        <v>984.51148722286905</v>
      </c>
      <c r="K97" s="65">
        <f t="shared" si="17"/>
        <v>1718.0434523041602</v>
      </c>
      <c r="M97" s="24">
        <f t="shared" si="18"/>
        <v>0.44224820092326761</v>
      </c>
      <c r="O97" s="18">
        <f t="shared" si="19"/>
        <v>0.44238788161703219</v>
      </c>
      <c r="P97" s="18">
        <f t="shared" si="20"/>
        <v>0.44193966429865189</v>
      </c>
    </row>
    <row r="98" spans="1:16">
      <c r="A98" s="4">
        <v>40817</v>
      </c>
      <c r="B98" s="58">
        <f t="shared" si="12"/>
        <v>29.031383048323374</v>
      </c>
      <c r="C98" s="7">
        <f t="shared" si="21"/>
        <v>100.27570669196557</v>
      </c>
      <c r="D98" s="7">
        <f t="shared" si="13"/>
        <v>481.67549638385202</v>
      </c>
      <c r="E98" s="7">
        <f t="shared" si="14"/>
        <v>-62.964117174359743</v>
      </c>
      <c r="F98" s="7">
        <f t="shared" si="22"/>
        <v>314.82058587179876</v>
      </c>
      <c r="G98" s="7"/>
      <c r="H98" s="7">
        <f>VLOOKUP($A98,GovGener!$A$29:$M$136,11)</f>
        <v>856.08812330852516</v>
      </c>
      <c r="I98" s="7">
        <f t="shared" si="15"/>
        <v>885.11950635684855</v>
      </c>
      <c r="J98" s="7">
        <f t="shared" si="16"/>
        <v>985.39521304881407</v>
      </c>
      <c r="K98" s="65">
        <f t="shared" si="17"/>
        <v>1718.9271781301052</v>
      </c>
      <c r="M98" s="24">
        <f t="shared" si="18"/>
        <v>0.44247568420147543</v>
      </c>
      <c r="O98" s="18">
        <f t="shared" si="19"/>
        <v>0.44244250109360928</v>
      </c>
      <c r="P98" s="18">
        <f t="shared" si="20"/>
        <v>0.44170617257730438</v>
      </c>
    </row>
    <row r="99" spans="1:16">
      <c r="A99" s="4">
        <v>40848</v>
      </c>
      <c r="B99" s="58">
        <f t="shared" si="12"/>
        <v>29.031383048323374</v>
      </c>
      <c r="C99" s="7">
        <f t="shared" si="21"/>
        <v>100.27570669196557</v>
      </c>
      <c r="D99" s="7">
        <f t="shared" si="13"/>
        <v>481.67549638385202</v>
      </c>
      <c r="E99" s="7">
        <f t="shared" si="14"/>
        <v>-62.964117174359743</v>
      </c>
      <c r="F99" s="7">
        <f t="shared" si="22"/>
        <v>314.82058587179876</v>
      </c>
      <c r="G99" s="7"/>
      <c r="H99" s="7">
        <f>VLOOKUP($A99,GovGener!$A$29:$M$136,11)</f>
        <v>855.94856409916747</v>
      </c>
      <c r="I99" s="7">
        <f t="shared" si="15"/>
        <v>884.97994714749086</v>
      </c>
      <c r="J99" s="7">
        <f t="shared" si="16"/>
        <v>985.25565383945639</v>
      </c>
      <c r="K99" s="65">
        <f t="shared" si="17"/>
        <v>1718.7876189207475</v>
      </c>
      <c r="M99" s="24">
        <f t="shared" si="18"/>
        <v>0.44243975972635352</v>
      </c>
      <c r="O99" s="18">
        <f t="shared" si="19"/>
        <v>0.44239072284163833</v>
      </c>
      <c r="P99" s="18">
        <f t="shared" si="20"/>
        <v>0.44137556308790066</v>
      </c>
    </row>
    <row r="100" spans="1:16">
      <c r="A100" s="4">
        <v>40878</v>
      </c>
      <c r="B100" s="58">
        <f t="shared" si="12"/>
        <v>29.031383048323374</v>
      </c>
      <c r="C100" s="7">
        <f t="shared" si="21"/>
        <v>100.27570669196557</v>
      </c>
      <c r="D100" s="7">
        <f t="shared" si="13"/>
        <v>481.67549638385202</v>
      </c>
      <c r="E100" s="7">
        <f t="shared" si="14"/>
        <v>-62.964117174359743</v>
      </c>
      <c r="F100" s="7">
        <f t="shared" si="22"/>
        <v>314.82058587179876</v>
      </c>
      <c r="G100" s="7"/>
      <c r="H100" s="7">
        <f>VLOOKUP($A100,GovGener!$A$29:$M$136,11)</f>
        <v>855.8409538364939</v>
      </c>
      <c r="I100" s="7">
        <f t="shared" si="15"/>
        <v>884.87233688481729</v>
      </c>
      <c r="J100" s="7">
        <f t="shared" si="16"/>
        <v>985.14804357678281</v>
      </c>
      <c r="K100" s="65">
        <f t="shared" si="17"/>
        <v>1718.6800086580738</v>
      </c>
      <c r="M100" s="24">
        <f t="shared" si="18"/>
        <v>0.44241205935299888</v>
      </c>
      <c r="O100" s="18">
        <f t="shared" si="19"/>
        <v>0.44230889040126531</v>
      </c>
      <c r="P100" s="18">
        <f t="shared" si="20"/>
        <v>0.4410479473047571</v>
      </c>
    </row>
    <row r="101" spans="1:16">
      <c r="A101" s="4">
        <v>40909</v>
      </c>
      <c r="B101" s="58">
        <f t="shared" si="12"/>
        <v>29.031383048323374</v>
      </c>
      <c r="C101" s="7">
        <f t="shared" si="21"/>
        <v>100.27570669196557</v>
      </c>
      <c r="D101" s="7">
        <f t="shared" si="13"/>
        <v>481.67549638385202</v>
      </c>
      <c r="E101" s="7">
        <f t="shared" si="14"/>
        <v>-62.964117174359743</v>
      </c>
      <c r="F101" s="7">
        <f t="shared" si="22"/>
        <v>314.82058587179876</v>
      </c>
      <c r="G101" s="7"/>
      <c r="H101" s="7">
        <f>VLOOKUP($A101,GovGener!$A$29:$M$136,11)</f>
        <v>855.4846796772016</v>
      </c>
      <c r="I101" s="7">
        <f t="shared" si="15"/>
        <v>884.51606272552499</v>
      </c>
      <c r="J101" s="7">
        <f t="shared" si="16"/>
        <v>984.79176941749051</v>
      </c>
      <c r="K101" s="65">
        <f t="shared" si="17"/>
        <v>1718.3237344987815</v>
      </c>
      <c r="M101" s="24">
        <f t="shared" si="18"/>
        <v>0.44232034944556248</v>
      </c>
      <c r="O101" s="18">
        <f t="shared" si="19"/>
        <v>0.44223629141867721</v>
      </c>
      <c r="P101" s="18">
        <f t="shared" si="20"/>
        <v>0.44072263988605975</v>
      </c>
    </row>
    <row r="102" spans="1:16">
      <c r="A102" s="4">
        <v>40940</v>
      </c>
      <c r="B102" s="58">
        <f t="shared" si="12"/>
        <v>29.031383048323374</v>
      </c>
      <c r="C102" s="7">
        <f t="shared" si="21"/>
        <v>100.27570669196557</v>
      </c>
      <c r="D102" s="7">
        <f t="shared" si="13"/>
        <v>481.67549638385202</v>
      </c>
      <c r="E102" s="7">
        <f t="shared" si="14"/>
        <v>-62.964117174359743</v>
      </c>
      <c r="F102" s="7">
        <f t="shared" si="22"/>
        <v>314.82058587179876</v>
      </c>
      <c r="G102" s="7"/>
      <c r="H102" s="7">
        <f>VLOOKUP($A102,GovGener!$A$29:$M$136,11)</f>
        <v>854.9948574153957</v>
      </c>
      <c r="I102" s="7">
        <f t="shared" si="15"/>
        <v>884.02624046371909</v>
      </c>
      <c r="J102" s="7">
        <f t="shared" si="16"/>
        <v>984.30194715568462</v>
      </c>
      <c r="K102" s="65">
        <f t="shared" si="17"/>
        <v>1717.8339122369757</v>
      </c>
      <c r="M102" s="24">
        <f t="shared" si="18"/>
        <v>0.44219426240523457</v>
      </c>
      <c r="O102" s="18">
        <f t="shared" si="19"/>
        <v>0.44219426240523457</v>
      </c>
      <c r="P102" s="18">
        <f t="shared" si="20"/>
        <v>0.44104349565485679</v>
      </c>
    </row>
    <row r="103" spans="1:16">
      <c r="A103" s="4">
        <v>40969</v>
      </c>
      <c r="B103" s="58">
        <f t="shared" si="12"/>
        <v>29.031383048323374</v>
      </c>
      <c r="C103" s="7">
        <f t="shared" si="21"/>
        <v>100.27570669196557</v>
      </c>
      <c r="D103" s="7">
        <f t="shared" si="13"/>
        <v>481.67549638385202</v>
      </c>
      <c r="E103" s="7">
        <f t="shared" si="14"/>
        <v>-62.964117174359743</v>
      </c>
      <c r="F103" s="7">
        <f t="shared" si="22"/>
        <v>314.82058587179876</v>
      </c>
      <c r="G103" s="7"/>
      <c r="H103" s="7">
        <f>VLOOKUP($A103,GovGener!$A$29:$M$136,11)</f>
        <v>854.9948574153957</v>
      </c>
      <c r="I103" s="7">
        <f t="shared" si="15"/>
        <v>884.02624046371909</v>
      </c>
      <c r="J103" s="7">
        <f t="shared" si="16"/>
        <v>984.30194715568462</v>
      </c>
      <c r="K103" s="65">
        <f t="shared" si="17"/>
        <v>1717.8339122369757</v>
      </c>
      <c r="M103" s="24">
        <f t="shared" si="18"/>
        <v>0.44219426240523457</v>
      </c>
      <c r="O103" s="18">
        <f t="shared" si="19"/>
        <v>0.44219426240523457</v>
      </c>
      <c r="P103" s="18">
        <f t="shared" si="20"/>
        <v>0.44137485867701454</v>
      </c>
    </row>
    <row r="104" spans="1:16">
      <c r="A104" s="4">
        <v>41000</v>
      </c>
      <c r="B104" s="58">
        <f t="shared" si="12"/>
        <v>29.031383048323374</v>
      </c>
      <c r="C104" s="7">
        <f t="shared" si="21"/>
        <v>100.27570669196557</v>
      </c>
      <c r="D104" s="7">
        <f t="shared" si="13"/>
        <v>481.67549638385202</v>
      </c>
      <c r="E104" s="7">
        <f t="shared" si="14"/>
        <v>-62.964117174359743</v>
      </c>
      <c r="F104" s="7">
        <f t="shared" si="22"/>
        <v>314.82058587179876</v>
      </c>
      <c r="G104" s="7"/>
      <c r="H104" s="7">
        <f>VLOOKUP($A104,GovGener!$A$29:$M$136,11)</f>
        <v>854.9948574153957</v>
      </c>
      <c r="I104" s="7">
        <f t="shared" si="15"/>
        <v>884.02624046371909</v>
      </c>
      <c r="J104" s="7">
        <f t="shared" si="16"/>
        <v>984.30194715568462</v>
      </c>
      <c r="K104" s="65">
        <f t="shared" si="17"/>
        <v>1717.8339122369757</v>
      </c>
      <c r="M104" s="24">
        <f t="shared" si="18"/>
        <v>0.44219426240523457</v>
      </c>
      <c r="O104" s="18">
        <f t="shared" si="19"/>
        <v>0.4417520491938482</v>
      </c>
      <c r="P104" s="18">
        <f t="shared" si="20"/>
        <v>0.44170622169917223</v>
      </c>
    </row>
    <row r="105" spans="1:16">
      <c r="A105" s="4">
        <v>41030</v>
      </c>
      <c r="B105" s="58">
        <f t="shared" si="12"/>
        <v>29.031383048323374</v>
      </c>
      <c r="C105" s="7">
        <f t="shared" si="21"/>
        <v>100.27570669196557</v>
      </c>
      <c r="D105" s="7">
        <f t="shared" si="13"/>
        <v>481.67549638385202</v>
      </c>
      <c r="E105" s="7">
        <f t="shared" si="14"/>
        <v>-62.964117174359743</v>
      </c>
      <c r="F105" s="7">
        <f t="shared" si="22"/>
        <v>314.82058587179876</v>
      </c>
      <c r="G105" s="7"/>
      <c r="H105" s="7">
        <f>VLOOKUP($A105,GovGener!$A$29:$M$136,11)</f>
        <v>854.9948574153957</v>
      </c>
      <c r="I105" s="7">
        <f t="shared" si="15"/>
        <v>884.02624046371909</v>
      </c>
      <c r="J105" s="7">
        <f t="shared" si="16"/>
        <v>984.30194715568462</v>
      </c>
      <c r="K105" s="65">
        <f t="shared" si="17"/>
        <v>1717.8339122369757</v>
      </c>
      <c r="M105" s="24">
        <f t="shared" si="18"/>
        <v>0.44219426240523457</v>
      </c>
      <c r="O105" s="18">
        <f t="shared" si="19"/>
        <v>0.44130983598246171</v>
      </c>
      <c r="P105" s="18">
        <f t="shared" si="20"/>
        <v>0.44203758472132998</v>
      </c>
    </row>
    <row r="106" spans="1:16">
      <c r="A106" s="4">
        <v>41061</v>
      </c>
      <c r="B106" s="58">
        <f t="shared" si="12"/>
        <v>29.031383048323374</v>
      </c>
      <c r="C106" s="7">
        <f t="shared" si="21"/>
        <v>100.27570669196557</v>
      </c>
      <c r="D106" s="7">
        <f t="shared" si="13"/>
        <v>481.67549638385202</v>
      </c>
      <c r="E106" s="7">
        <f t="shared" si="14"/>
        <v>-62.964117174359743</v>
      </c>
      <c r="F106" s="7">
        <f t="shared" si="22"/>
        <v>314.82058587179876</v>
      </c>
      <c r="G106" s="7"/>
      <c r="H106" s="7">
        <f>VLOOKUP($A106,GovGener!$A$29:$M$136,11)</f>
        <v>849.84113483998169</v>
      </c>
      <c r="I106" s="7">
        <f t="shared" si="15"/>
        <v>878.87251788830508</v>
      </c>
      <c r="J106" s="7">
        <f t="shared" si="16"/>
        <v>979.14822458027061</v>
      </c>
      <c r="K106" s="65">
        <f t="shared" si="17"/>
        <v>1712.6801896615616</v>
      </c>
      <c r="M106" s="24">
        <f t="shared" si="18"/>
        <v>0.44086762277107533</v>
      </c>
      <c r="O106" s="18">
        <f t="shared" si="19"/>
        <v>0.44086762277107533</v>
      </c>
      <c r="P106" s="18">
        <f t="shared" si="20"/>
        <v>0.44236894774348773</v>
      </c>
    </row>
    <row r="107" spans="1:16">
      <c r="A107" s="4">
        <v>41091</v>
      </c>
      <c r="B107" s="58">
        <f t="shared" si="12"/>
        <v>29.031383048323374</v>
      </c>
      <c r="C107" s="7">
        <f t="shared" si="21"/>
        <v>100.27570669196557</v>
      </c>
      <c r="D107" s="7">
        <f t="shared" si="13"/>
        <v>481.67549638385202</v>
      </c>
      <c r="E107" s="7">
        <f t="shared" si="14"/>
        <v>-62.964117174359743</v>
      </c>
      <c r="F107" s="7">
        <f t="shared" si="22"/>
        <v>314.82058587179876</v>
      </c>
      <c r="G107" s="7"/>
      <c r="H107" s="7">
        <f>VLOOKUP($A107,GovGener!$A$29:$M$136,11)</f>
        <v>849.84113483998169</v>
      </c>
      <c r="I107" s="7">
        <f t="shared" si="15"/>
        <v>878.87251788830508</v>
      </c>
      <c r="J107" s="7">
        <f t="shared" si="16"/>
        <v>979.14822458027061</v>
      </c>
      <c r="K107" s="65">
        <f t="shared" si="17"/>
        <v>1712.6801896615616</v>
      </c>
      <c r="M107" s="24">
        <f t="shared" si="18"/>
        <v>0.44086762277107533</v>
      </c>
      <c r="O107" s="18">
        <f t="shared" si="19"/>
        <v>0.44039384860308289</v>
      </c>
      <c r="P107" s="18">
        <f t="shared" si="20"/>
        <v>0.44281086406849218</v>
      </c>
    </row>
    <row r="108" spans="1:16">
      <c r="A108" s="4">
        <v>41122</v>
      </c>
      <c r="B108" s="58">
        <f t="shared" si="12"/>
        <v>29.031383048323374</v>
      </c>
      <c r="C108" s="7">
        <f t="shared" si="21"/>
        <v>100.27570669196557</v>
      </c>
      <c r="D108" s="7">
        <f t="shared" si="13"/>
        <v>481.67549638385202</v>
      </c>
      <c r="E108" s="7">
        <f t="shared" si="14"/>
        <v>-62.964117174359743</v>
      </c>
      <c r="F108" s="7">
        <f t="shared" si="22"/>
        <v>314.82058587179876</v>
      </c>
      <c r="G108" s="7"/>
      <c r="H108" s="7">
        <f>VLOOKUP($A108,GovGener!$A$29:$M$136,11)</f>
        <v>849.84113483998169</v>
      </c>
      <c r="I108" s="7">
        <f t="shared" si="15"/>
        <v>878.87251788830508</v>
      </c>
      <c r="J108" s="7">
        <f t="shared" si="16"/>
        <v>979.14822458027061</v>
      </c>
      <c r="K108" s="65">
        <f t="shared" si="17"/>
        <v>1712.6801896615616</v>
      </c>
      <c r="M108" s="24">
        <f t="shared" si="18"/>
        <v>0.44086762277107533</v>
      </c>
      <c r="O108" s="18">
        <f t="shared" si="19"/>
        <v>0.43960743112226802</v>
      </c>
      <c r="P108" s="18">
        <f t="shared" si="20"/>
        <v>0.44325278039349647</v>
      </c>
    </row>
    <row r="109" spans="1:16">
      <c r="A109" s="4">
        <v>41153</v>
      </c>
      <c r="B109" s="58">
        <f t="shared" si="12"/>
        <v>29.031383048323374</v>
      </c>
      <c r="C109" s="7">
        <f t="shared" si="21"/>
        <v>100.27570669196557</v>
      </c>
      <c r="D109" s="7">
        <f t="shared" si="13"/>
        <v>481.67549638385202</v>
      </c>
      <c r="E109" s="7">
        <f t="shared" si="14"/>
        <v>-62.964117174359743</v>
      </c>
      <c r="F109" s="7">
        <f t="shared" si="22"/>
        <v>314.82058587179876</v>
      </c>
      <c r="G109" s="7"/>
      <c r="H109" s="7">
        <f>VLOOKUP($A109,GovGener!$A$29:$M$136,11)</f>
        <v>844.31958875687008</v>
      </c>
      <c r="I109" s="7">
        <f t="shared" si="15"/>
        <v>873.35097180519347</v>
      </c>
      <c r="J109" s="7">
        <f t="shared" si="16"/>
        <v>973.62667849715899</v>
      </c>
      <c r="K109" s="65">
        <f t="shared" si="17"/>
        <v>1707.1586435784502</v>
      </c>
      <c r="M109" s="24">
        <f t="shared" si="18"/>
        <v>0.43944630026709791</v>
      </c>
      <c r="O109" s="18">
        <f t="shared" si="19"/>
        <v>0.43882101364145315</v>
      </c>
      <c r="P109" s="18">
        <f t="shared" si="20"/>
        <v>0.44369469671850087</v>
      </c>
    </row>
    <row r="110" spans="1:16">
      <c r="A110" s="4">
        <v>41183</v>
      </c>
      <c r="B110" s="58">
        <f t="shared" si="12"/>
        <v>29.031383048323374</v>
      </c>
      <c r="C110" s="7">
        <f t="shared" si="21"/>
        <v>100.27570669196557</v>
      </c>
      <c r="D110" s="7">
        <f t="shared" si="13"/>
        <v>481.67549638385202</v>
      </c>
      <c r="E110" s="7">
        <f t="shared" si="14"/>
        <v>-62.964117174359743</v>
      </c>
      <c r="F110" s="7">
        <f t="shared" si="22"/>
        <v>314.82058587179876</v>
      </c>
      <c r="G110" s="7"/>
      <c r="H110" s="7">
        <f>VLOOKUP($A110,GovGener!$A$29:$M$136,11)</f>
        <v>840.67592353417513</v>
      </c>
      <c r="I110" s="7">
        <f t="shared" si="15"/>
        <v>869.70730658249852</v>
      </c>
      <c r="J110" s="7">
        <f t="shared" si="16"/>
        <v>969.98301327446404</v>
      </c>
      <c r="K110" s="65">
        <f t="shared" si="17"/>
        <v>1703.5149783557551</v>
      </c>
      <c r="M110" s="24">
        <f t="shared" si="18"/>
        <v>0.43850837032863077</v>
      </c>
      <c r="O110" s="18">
        <f t="shared" si="19"/>
        <v>0.43850837032863077</v>
      </c>
      <c r="P110" s="18">
        <f t="shared" si="20"/>
        <v>0.44425505658550329</v>
      </c>
    </row>
    <row r="111" spans="1:16">
      <c r="A111" s="4">
        <v>41214</v>
      </c>
      <c r="B111" s="58">
        <f t="shared" si="12"/>
        <v>29.031383048323374</v>
      </c>
      <c r="C111" s="7">
        <f t="shared" si="21"/>
        <v>100.27570669196557</v>
      </c>
      <c r="D111" s="7">
        <f t="shared" si="13"/>
        <v>481.67549638385202</v>
      </c>
      <c r="E111" s="7">
        <f t="shared" si="14"/>
        <v>-62.964117174359743</v>
      </c>
      <c r="F111" s="7">
        <f t="shared" si="22"/>
        <v>314.82058587179876</v>
      </c>
      <c r="G111" s="7"/>
      <c r="H111" s="7">
        <f>VLOOKUP($A111,GovGener!$A$29:$M$136,11)</f>
        <v>840.67592353417513</v>
      </c>
      <c r="I111" s="7">
        <f t="shared" si="15"/>
        <v>869.70730658249852</v>
      </c>
      <c r="J111" s="7">
        <f t="shared" si="16"/>
        <v>969.98301327446404</v>
      </c>
      <c r="K111" s="65">
        <f t="shared" si="17"/>
        <v>1703.5149783557551</v>
      </c>
      <c r="M111" s="24">
        <f t="shared" si="18"/>
        <v>0.43850837032863077</v>
      </c>
      <c r="O111" s="18">
        <f t="shared" si="19"/>
        <v>0.44106245310946307</v>
      </c>
      <c r="P111" s="18">
        <f t="shared" si="20"/>
        <v>0.44489357728071138</v>
      </c>
    </row>
    <row r="112" spans="1:16">
      <c r="A112" s="4">
        <v>41244</v>
      </c>
      <c r="B112" s="58">
        <f t="shared" si="12"/>
        <v>29.031383048323374</v>
      </c>
      <c r="C112" s="7">
        <f t="shared" si="21"/>
        <v>100.27570669196557</v>
      </c>
      <c r="D112" s="7">
        <f t="shared" si="13"/>
        <v>481.67549638385202</v>
      </c>
      <c r="E112" s="7">
        <f t="shared" si="14"/>
        <v>-62.964117174359743</v>
      </c>
      <c r="F112" s="7">
        <f t="shared" si="22"/>
        <v>314.82058587179876</v>
      </c>
      <c r="G112" s="7"/>
      <c r="H112" s="7">
        <f>VLOOKUP($A112,GovGener!$A$29:$M$136,11)</f>
        <v>840.67592353417513</v>
      </c>
      <c r="I112" s="7">
        <f t="shared" si="15"/>
        <v>869.70730658249852</v>
      </c>
      <c r="J112" s="7">
        <f t="shared" si="16"/>
        <v>969.98301327446404</v>
      </c>
      <c r="K112" s="65">
        <f t="shared" si="17"/>
        <v>1703.5149783557551</v>
      </c>
      <c r="M112" s="24">
        <f t="shared" si="18"/>
        <v>0.43850837032863077</v>
      </c>
      <c r="O112" s="18">
        <f t="shared" si="19"/>
        <v>0.44361653589029532</v>
      </c>
      <c r="P112" s="18">
        <f t="shared" si="20"/>
        <v>0.44553209797591942</v>
      </c>
    </row>
    <row r="113" spans="1:16">
      <c r="A113" s="4">
        <v>41275</v>
      </c>
      <c r="B113" s="58">
        <f t="shared" si="12"/>
        <v>29.031383048323374</v>
      </c>
      <c r="C113" s="7">
        <f t="shared" si="21"/>
        <v>100.27570669196557</v>
      </c>
      <c r="D113" s="7">
        <f t="shared" si="13"/>
        <v>481.67549638385202</v>
      </c>
      <c r="E113" s="7">
        <f t="shared" si="14"/>
        <v>0</v>
      </c>
      <c r="F113" s="7">
        <f t="shared" si="22"/>
        <v>314.82058587179876</v>
      </c>
      <c r="G113" s="7"/>
      <c r="H113" s="7">
        <f>VLOOKUP($A113,GovGener!$A$29:$M$136,11)</f>
        <v>807.47806785567423</v>
      </c>
      <c r="I113" s="7">
        <f t="shared" si="15"/>
        <v>836.50945090399762</v>
      </c>
      <c r="J113" s="7">
        <f t="shared" si="16"/>
        <v>936.78515759596314</v>
      </c>
      <c r="K113" s="65">
        <f t="shared" si="17"/>
        <v>1733.2812398516139</v>
      </c>
      <c r="M113" s="24">
        <f t="shared" si="18"/>
        <v>0.44617061867112756</v>
      </c>
      <c r="O113" s="18">
        <f t="shared" si="19"/>
        <v>0.44617061867112756</v>
      </c>
      <c r="P113" s="18">
        <f t="shared" si="20"/>
        <v>0.44617061867112745</v>
      </c>
    </row>
    <row r="114" spans="1:16">
      <c r="A114" s="4">
        <v>41306</v>
      </c>
      <c r="B114" s="58">
        <f t="shared" si="12"/>
        <v>29.031383048323374</v>
      </c>
      <c r="C114" s="7">
        <f t="shared" si="21"/>
        <v>100.27570669196557</v>
      </c>
      <c r="D114" s="7">
        <f t="shared" si="13"/>
        <v>481.67549638385202</v>
      </c>
      <c r="E114" s="7">
        <f t="shared" si="14"/>
        <v>0</v>
      </c>
      <c r="F114" s="7">
        <f t="shared" si="22"/>
        <v>314.82058587179876</v>
      </c>
      <c r="G114" s="7"/>
      <c r="H114" s="7">
        <f>VLOOKUP($A114,GovGener!$A$29:$M$136,11)</f>
        <v>807.47806785567423</v>
      </c>
      <c r="I114" s="7">
        <f t="shared" si="15"/>
        <v>836.50945090399762</v>
      </c>
      <c r="J114" s="7">
        <f t="shared" si="16"/>
        <v>936.78515759596314</v>
      </c>
      <c r="K114" s="65">
        <f t="shared" si="17"/>
        <v>1733.2812398516139</v>
      </c>
      <c r="M114" s="24">
        <f t="shared" si="18"/>
        <v>0.44617061867112756</v>
      </c>
      <c r="O114" s="18">
        <f t="shared" si="19"/>
        <v>0.44617061867112756</v>
      </c>
      <c r="P114" s="18">
        <f t="shared" si="20"/>
        <v>0.44540935956444777</v>
      </c>
    </row>
    <row r="115" spans="1:16">
      <c r="A115" s="4">
        <v>41334</v>
      </c>
      <c r="B115" s="58">
        <f t="shared" si="12"/>
        <v>29.031383048323374</v>
      </c>
      <c r="C115" s="7">
        <f t="shared" si="21"/>
        <v>100.27570669196557</v>
      </c>
      <c r="D115" s="7">
        <f t="shared" si="13"/>
        <v>481.67549638385202</v>
      </c>
      <c r="E115" s="7">
        <f t="shared" si="14"/>
        <v>0</v>
      </c>
      <c r="F115" s="7">
        <f t="shared" si="22"/>
        <v>314.82058587179876</v>
      </c>
      <c r="G115" s="7"/>
      <c r="H115" s="7">
        <f>VLOOKUP($A115,GovGener!$A$29:$M$136,11)</f>
        <v>807.47806785567423</v>
      </c>
      <c r="I115" s="7">
        <f t="shared" si="15"/>
        <v>836.50945090399762</v>
      </c>
      <c r="J115" s="7">
        <f t="shared" si="16"/>
        <v>936.78515759596314</v>
      </c>
      <c r="K115" s="65">
        <f t="shared" si="17"/>
        <v>1733.2812398516139</v>
      </c>
      <c r="M115" s="24">
        <f t="shared" si="18"/>
        <v>0.44617061867112756</v>
      </c>
      <c r="O115" s="18">
        <f t="shared" si="19"/>
        <v>0.44617061867112756</v>
      </c>
      <c r="P115" s="18">
        <f t="shared" si="20"/>
        <v>0.44464810045776809</v>
      </c>
    </row>
    <row r="116" spans="1:16">
      <c r="A116" s="4">
        <v>41365</v>
      </c>
      <c r="B116" s="58">
        <f t="shared" si="12"/>
        <v>29.031383048323374</v>
      </c>
      <c r="C116" s="7">
        <f t="shared" si="21"/>
        <v>100.27570669196557</v>
      </c>
      <c r="D116" s="7">
        <f t="shared" si="13"/>
        <v>481.67549638385202</v>
      </c>
      <c r="E116" s="7">
        <f t="shared" si="14"/>
        <v>0</v>
      </c>
      <c r="F116" s="7">
        <f t="shared" si="22"/>
        <v>314.82058587179876</v>
      </c>
      <c r="G116" s="7"/>
      <c r="H116" s="7">
        <f>VLOOKUP($A116,GovGener!$A$29:$M$136,11)</f>
        <v>807.47806785567423</v>
      </c>
      <c r="I116" s="7">
        <f t="shared" si="15"/>
        <v>836.50945090399762</v>
      </c>
      <c r="J116" s="7">
        <f t="shared" si="16"/>
        <v>936.78515759596314</v>
      </c>
      <c r="K116" s="65">
        <f t="shared" si="17"/>
        <v>1733.2812398516139</v>
      </c>
      <c r="M116" s="24">
        <f t="shared" si="18"/>
        <v>0.44617061867112756</v>
      </c>
      <c r="O116" s="18">
        <f t="shared" si="19"/>
        <v>0.44617061867112756</v>
      </c>
      <c r="P116" s="18">
        <f t="shared" si="20"/>
        <v>0.44388684135108841</v>
      </c>
    </row>
    <row r="117" spans="1:16">
      <c r="A117" s="4">
        <v>41395</v>
      </c>
      <c r="B117" s="58">
        <f t="shared" si="12"/>
        <v>29.031383048323374</v>
      </c>
      <c r="C117" s="7">
        <f t="shared" si="21"/>
        <v>100.27570669196557</v>
      </c>
      <c r="D117" s="7">
        <f t="shared" si="13"/>
        <v>481.67549638385202</v>
      </c>
      <c r="E117" s="7">
        <f t="shared" si="14"/>
        <v>0</v>
      </c>
      <c r="F117" s="7">
        <f t="shared" si="22"/>
        <v>314.82058587179876</v>
      </c>
      <c r="G117" s="7"/>
      <c r="H117" s="7">
        <f>VLOOKUP($A117,GovGener!$A$29:$M$136,11)</f>
        <v>807.47806785567423</v>
      </c>
      <c r="I117" s="7">
        <f t="shared" si="15"/>
        <v>836.50945090399762</v>
      </c>
      <c r="J117" s="7">
        <f t="shared" si="16"/>
        <v>936.78515759596314</v>
      </c>
      <c r="K117" s="65">
        <f t="shared" si="17"/>
        <v>1733.2812398516139</v>
      </c>
      <c r="M117" s="24">
        <f t="shared" si="18"/>
        <v>0.44617061867112756</v>
      </c>
      <c r="O117" s="18">
        <f t="shared" si="19"/>
        <v>0.44617061867112756</v>
      </c>
      <c r="P117" s="18">
        <f t="shared" si="20"/>
        <v>0.44312558224440873</v>
      </c>
    </row>
    <row r="118" spans="1:16">
      <c r="A118" s="4">
        <v>41426</v>
      </c>
      <c r="B118" s="58">
        <f t="shared" si="12"/>
        <v>29.031383048323374</v>
      </c>
      <c r="C118" s="7">
        <f t="shared" si="21"/>
        <v>100.27570669196557</v>
      </c>
      <c r="D118" s="7">
        <f t="shared" si="13"/>
        <v>481.67549638385202</v>
      </c>
      <c r="E118" s="7">
        <f t="shared" si="14"/>
        <v>0</v>
      </c>
      <c r="F118" s="7">
        <f t="shared" si="22"/>
        <v>314.82058587179876</v>
      </c>
      <c r="G118" s="7"/>
      <c r="H118" s="7">
        <f>VLOOKUP($A118,GovGener!$A$29:$M$136,11)</f>
        <v>807.47806785567423</v>
      </c>
      <c r="I118" s="7">
        <f t="shared" si="15"/>
        <v>836.50945090399762</v>
      </c>
      <c r="J118" s="7">
        <f t="shared" si="16"/>
        <v>936.78515759596314</v>
      </c>
      <c r="K118" s="65">
        <f t="shared" si="17"/>
        <v>1733.2812398516139</v>
      </c>
      <c r="M118" s="24">
        <f t="shared" si="18"/>
        <v>0.44617061867112756</v>
      </c>
      <c r="O118" s="18">
        <f t="shared" si="19"/>
        <v>0.44617061867112756</v>
      </c>
      <c r="P118" s="18">
        <f t="shared" si="20"/>
        <v>0.442364323137729</v>
      </c>
    </row>
    <row r="119" spans="1:16">
      <c r="A119" s="4">
        <v>41456</v>
      </c>
      <c r="B119" s="58">
        <f t="shared" si="12"/>
        <v>29.031383048323374</v>
      </c>
      <c r="C119" s="7">
        <f t="shared" si="21"/>
        <v>100.27570669196557</v>
      </c>
      <c r="D119" s="7">
        <f t="shared" si="13"/>
        <v>481.67549638385202</v>
      </c>
      <c r="E119" s="7">
        <f t="shared" si="14"/>
        <v>0</v>
      </c>
      <c r="F119" s="7">
        <f t="shared" si="22"/>
        <v>314.82058587179876</v>
      </c>
      <c r="G119" s="7"/>
      <c r="H119" s="7">
        <f>VLOOKUP($A119,GovGener!$A$29:$M$136,11)</f>
        <v>807.47806785567423</v>
      </c>
      <c r="I119" s="7">
        <f t="shared" si="15"/>
        <v>836.50945090399762</v>
      </c>
      <c r="J119" s="7">
        <f t="shared" si="16"/>
        <v>936.78515759596314</v>
      </c>
      <c r="K119" s="65">
        <f t="shared" si="17"/>
        <v>1733.2812398516139</v>
      </c>
      <c r="M119" s="24">
        <f t="shared" si="18"/>
        <v>0.44617061867112756</v>
      </c>
      <c r="O119" s="18">
        <f t="shared" si="19"/>
        <v>0.44617061867112756</v>
      </c>
      <c r="P119" s="18">
        <f t="shared" si="20"/>
        <v>0.44160306403104932</v>
      </c>
    </row>
    <row r="120" spans="1:16">
      <c r="A120" s="4">
        <v>41487</v>
      </c>
      <c r="B120" s="58">
        <f t="shared" si="12"/>
        <v>29.031383048323374</v>
      </c>
      <c r="C120" s="7">
        <f t="shared" si="21"/>
        <v>100.27570669196557</v>
      </c>
      <c r="D120" s="7">
        <f t="shared" si="13"/>
        <v>481.67549638385202</v>
      </c>
      <c r="E120" s="7">
        <f t="shared" si="14"/>
        <v>0</v>
      </c>
      <c r="F120" s="7">
        <f t="shared" si="22"/>
        <v>314.82058587179876</v>
      </c>
      <c r="G120" s="7"/>
      <c r="H120" s="7">
        <f>VLOOKUP($A120,GovGener!$A$29:$M$136,11)</f>
        <v>807.47806785567423</v>
      </c>
      <c r="I120" s="7">
        <f t="shared" si="15"/>
        <v>836.50945090399762</v>
      </c>
      <c r="J120" s="7">
        <f t="shared" si="16"/>
        <v>936.78515759596314</v>
      </c>
      <c r="K120" s="65">
        <f t="shared" si="17"/>
        <v>1733.2812398516139</v>
      </c>
      <c r="M120" s="24">
        <f t="shared" si="18"/>
        <v>0.44617061867112756</v>
      </c>
      <c r="O120" s="18">
        <f t="shared" si="19"/>
        <v>0.44617061867112756</v>
      </c>
      <c r="P120" s="18">
        <f t="shared" si="20"/>
        <v>0.44084180492436958</v>
      </c>
    </row>
    <row r="121" spans="1:16">
      <c r="A121" s="4">
        <v>41518</v>
      </c>
      <c r="B121" s="58">
        <f t="shared" si="12"/>
        <v>29.031383048323374</v>
      </c>
      <c r="C121" s="7">
        <f t="shared" si="21"/>
        <v>100.27570669196557</v>
      </c>
      <c r="D121" s="7">
        <f t="shared" si="13"/>
        <v>481.67549638385202</v>
      </c>
      <c r="E121" s="7">
        <f t="shared" si="14"/>
        <v>0</v>
      </c>
      <c r="F121" s="7">
        <f t="shared" si="22"/>
        <v>314.82058587179876</v>
      </c>
      <c r="G121" s="7"/>
      <c r="H121" s="7">
        <f>VLOOKUP($A121,GovGener!$A$29:$M$136,11)</f>
        <v>807.47806785567423</v>
      </c>
      <c r="I121" s="7">
        <f t="shared" si="15"/>
        <v>836.50945090399762</v>
      </c>
      <c r="J121" s="7">
        <f t="shared" si="16"/>
        <v>936.78515759596314</v>
      </c>
      <c r="K121" s="65">
        <f t="shared" si="17"/>
        <v>1733.2812398516139</v>
      </c>
      <c r="M121" s="24">
        <f t="shared" si="18"/>
        <v>0.44617061867112756</v>
      </c>
      <c r="O121" s="18">
        <f t="shared" si="19"/>
        <v>0.44617061867112756</v>
      </c>
      <c r="P121" s="18">
        <f t="shared" si="20"/>
        <v>0.44008054581768991</v>
      </c>
    </row>
    <row r="122" spans="1:16">
      <c r="A122" s="4">
        <v>41548</v>
      </c>
      <c r="B122" s="58">
        <f t="shared" si="12"/>
        <v>29.031383048323374</v>
      </c>
      <c r="C122" s="7">
        <f t="shared" si="21"/>
        <v>100.27570669196557</v>
      </c>
      <c r="D122" s="7">
        <f t="shared" si="13"/>
        <v>481.67549638385202</v>
      </c>
      <c r="E122" s="7">
        <f t="shared" si="14"/>
        <v>0</v>
      </c>
      <c r="F122" s="7">
        <f t="shared" si="22"/>
        <v>314.82058587179876</v>
      </c>
      <c r="G122" s="7"/>
      <c r="H122" s="7">
        <f>VLOOKUP($A122,GovGener!$A$29:$M$136,11)</f>
        <v>807.47806785567423</v>
      </c>
      <c r="I122" s="7">
        <f t="shared" si="15"/>
        <v>836.50945090399762</v>
      </c>
      <c r="J122" s="7">
        <f t="shared" si="16"/>
        <v>936.78515759596314</v>
      </c>
      <c r="K122" s="65">
        <f t="shared" si="17"/>
        <v>1733.2812398516139</v>
      </c>
      <c r="M122" s="24">
        <f t="shared" si="18"/>
        <v>0.44617061867112756</v>
      </c>
      <c r="O122" s="18">
        <f t="shared" si="19"/>
        <v>0.44617061867112756</v>
      </c>
      <c r="P122" s="18">
        <f t="shared" si="20"/>
        <v>0.43931928671101023</v>
      </c>
    </row>
    <row r="123" spans="1:16">
      <c r="A123" s="4">
        <v>41579</v>
      </c>
      <c r="B123" s="58">
        <f t="shared" si="12"/>
        <v>29.031383048323374</v>
      </c>
      <c r="C123" s="7">
        <f t="shared" si="21"/>
        <v>100.27570669196557</v>
      </c>
      <c r="D123" s="7">
        <f t="shared" si="13"/>
        <v>481.67549638385202</v>
      </c>
      <c r="E123" s="7">
        <f t="shared" si="14"/>
        <v>0</v>
      </c>
      <c r="F123" s="7">
        <f t="shared" si="22"/>
        <v>314.82058587179876</v>
      </c>
      <c r="G123" s="7"/>
      <c r="H123" s="7">
        <f>VLOOKUP($A123,GovGener!$A$29:$M$136,11)</f>
        <v>807.47806785567423</v>
      </c>
      <c r="I123" s="7">
        <f t="shared" si="15"/>
        <v>836.50945090399762</v>
      </c>
      <c r="J123" s="7">
        <f t="shared" si="16"/>
        <v>936.78515759596314</v>
      </c>
      <c r="K123" s="65">
        <f t="shared" si="17"/>
        <v>1733.2812398516139</v>
      </c>
      <c r="M123" s="24">
        <f t="shared" si="18"/>
        <v>0.44617061867112756</v>
      </c>
      <c r="O123" s="18">
        <f t="shared" si="19"/>
        <v>0.44312558224440873</v>
      </c>
      <c r="P123" s="18">
        <f t="shared" si="20"/>
        <v>0.43855802760433055</v>
      </c>
    </row>
    <row r="124" spans="1:16">
      <c r="A124" s="4">
        <v>41609</v>
      </c>
      <c r="B124" s="58">
        <f t="shared" si="12"/>
        <v>29.031383048323374</v>
      </c>
      <c r="C124" s="7">
        <f t="shared" si="21"/>
        <v>100.27570669196557</v>
      </c>
      <c r="D124" s="7">
        <f t="shared" si="13"/>
        <v>481.67549638385202</v>
      </c>
      <c r="E124" s="7">
        <f t="shared" si="14"/>
        <v>0</v>
      </c>
      <c r="F124" s="7">
        <f t="shared" si="22"/>
        <v>314.82058587179876</v>
      </c>
      <c r="G124" s="7"/>
      <c r="H124" s="7">
        <f>VLOOKUP($A124,GovGener!$A$29:$M$136,11)</f>
        <v>807.47806785567423</v>
      </c>
      <c r="I124" s="7">
        <f t="shared" si="15"/>
        <v>836.50945090399762</v>
      </c>
      <c r="J124" s="7">
        <f t="shared" si="16"/>
        <v>936.78515759596314</v>
      </c>
      <c r="K124" s="65">
        <f t="shared" si="17"/>
        <v>1733.2812398516139</v>
      </c>
      <c r="M124" s="24">
        <f t="shared" si="18"/>
        <v>0.44617061867112756</v>
      </c>
      <c r="O124" s="18">
        <f t="shared" si="19"/>
        <v>0.44008054581768996</v>
      </c>
      <c r="P124" s="18">
        <f t="shared" si="20"/>
        <v>0.43779676849765076</v>
      </c>
    </row>
    <row r="125" spans="1:16">
      <c r="A125" s="4">
        <v>41640</v>
      </c>
      <c r="B125" s="58">
        <f t="shared" si="12"/>
        <v>29.031383048323374</v>
      </c>
      <c r="C125" s="7">
        <f t="shared" si="21"/>
        <v>100.27570669196557</v>
      </c>
      <c r="D125" s="7">
        <f t="shared" si="13"/>
        <v>481.67549638385202</v>
      </c>
      <c r="E125" s="7">
        <f t="shared" si="14"/>
        <v>0</v>
      </c>
      <c r="F125" s="7">
        <f t="shared" si="22"/>
        <v>314.82058587179876</v>
      </c>
      <c r="G125" s="7"/>
      <c r="H125" s="7">
        <f>VLOOKUP($A125,GovGener!$A$29:$M$136,11)</f>
        <v>771.99004404440552</v>
      </c>
      <c r="I125" s="7">
        <f t="shared" si="15"/>
        <v>801.02142709272891</v>
      </c>
      <c r="J125" s="7">
        <f t="shared" si="16"/>
        <v>901.29713378469444</v>
      </c>
      <c r="K125" s="65">
        <f t="shared" si="17"/>
        <v>1697.7932160403452</v>
      </c>
      <c r="M125" s="24">
        <f t="shared" si="18"/>
        <v>0.43703550939097119</v>
      </c>
      <c r="O125" s="18">
        <f t="shared" si="19"/>
        <v>0.43703550939097119</v>
      </c>
      <c r="P125" s="18">
        <f t="shared" si="20"/>
        <v>0.43703550939097108</v>
      </c>
    </row>
    <row r="126" spans="1:16">
      <c r="A126" s="4">
        <v>41671</v>
      </c>
      <c r="B126" s="58">
        <f t="shared" si="12"/>
        <v>29.031383048323374</v>
      </c>
      <c r="C126" s="7">
        <f t="shared" si="21"/>
        <v>100.27570669196557</v>
      </c>
      <c r="D126" s="7">
        <f t="shared" si="13"/>
        <v>481.67549638385202</v>
      </c>
      <c r="E126" s="7">
        <f t="shared" si="14"/>
        <v>0</v>
      </c>
      <c r="F126" s="7">
        <f t="shared" si="22"/>
        <v>314.82058587179876</v>
      </c>
      <c r="G126" s="7"/>
      <c r="H126" s="7">
        <f>VLOOKUP($A126,GovGener!$A$29:$M$136,11)</f>
        <v>771.99004404440552</v>
      </c>
      <c r="I126" s="7">
        <f t="shared" si="15"/>
        <v>801.02142709272891</v>
      </c>
      <c r="J126" s="7">
        <f t="shared" si="16"/>
        <v>901.29713378469444</v>
      </c>
      <c r="K126" s="65">
        <f t="shared" si="17"/>
        <v>1697.7932160403452</v>
      </c>
      <c r="M126" s="24">
        <f t="shared" si="18"/>
        <v>0.43703550939097119</v>
      </c>
      <c r="O126" s="18">
        <f t="shared" si="19"/>
        <v>0.43703550939097119</v>
      </c>
      <c r="P126" s="18">
        <f t="shared" si="20"/>
        <v>0.43703550939097108</v>
      </c>
    </row>
    <row r="127" spans="1:16">
      <c r="A127" s="4">
        <v>41699</v>
      </c>
      <c r="B127" s="58">
        <f t="shared" si="12"/>
        <v>29.031383048323374</v>
      </c>
      <c r="C127" s="7">
        <f t="shared" si="21"/>
        <v>100.27570669196557</v>
      </c>
      <c r="D127" s="7">
        <f t="shared" si="13"/>
        <v>481.67549638385202</v>
      </c>
      <c r="E127" s="7">
        <f t="shared" si="14"/>
        <v>0</v>
      </c>
      <c r="F127" s="7">
        <f t="shared" si="22"/>
        <v>314.82058587179876</v>
      </c>
      <c r="G127" s="7"/>
      <c r="H127" s="7">
        <f>VLOOKUP($A127,GovGener!$A$29:$M$136,11)</f>
        <v>771.99004404440552</v>
      </c>
      <c r="I127" s="7">
        <f t="shared" si="15"/>
        <v>801.02142709272891</v>
      </c>
      <c r="J127" s="7">
        <f t="shared" si="16"/>
        <v>901.29713378469444</v>
      </c>
      <c r="K127" s="65">
        <f t="shared" si="17"/>
        <v>1697.7932160403452</v>
      </c>
      <c r="M127" s="24">
        <f t="shared" si="18"/>
        <v>0.43703550939097119</v>
      </c>
      <c r="O127" s="18">
        <f t="shared" si="19"/>
        <v>0.43703550939097119</v>
      </c>
      <c r="P127" s="18">
        <f t="shared" si="20"/>
        <v>0.43703550939097113</v>
      </c>
    </row>
    <row r="128" spans="1:16">
      <c r="A128" s="4">
        <v>41730</v>
      </c>
      <c r="B128" s="58">
        <f t="shared" si="12"/>
        <v>29.031383048323374</v>
      </c>
      <c r="C128" s="7">
        <f t="shared" si="21"/>
        <v>100.27570669196557</v>
      </c>
      <c r="D128" s="7">
        <f t="shared" si="13"/>
        <v>481.67549638385202</v>
      </c>
      <c r="E128" s="7">
        <f t="shared" si="14"/>
        <v>0</v>
      </c>
      <c r="F128" s="7">
        <f t="shared" si="22"/>
        <v>314.82058587179876</v>
      </c>
      <c r="G128" s="7"/>
      <c r="H128" s="7">
        <f>VLOOKUP($A128,GovGener!$A$29:$M$136,11)</f>
        <v>771.99004404440552</v>
      </c>
      <c r="I128" s="7">
        <f t="shared" si="15"/>
        <v>801.02142709272891</v>
      </c>
      <c r="J128" s="7">
        <f t="shared" si="16"/>
        <v>901.29713378469444</v>
      </c>
      <c r="K128" s="65">
        <f t="shared" si="17"/>
        <v>1697.7932160403452</v>
      </c>
      <c r="M128" s="24">
        <f t="shared" si="18"/>
        <v>0.43703550939097119</v>
      </c>
      <c r="O128" s="18">
        <f t="shared" si="19"/>
        <v>0.43703550939097119</v>
      </c>
      <c r="P128" s="18">
        <f t="shared" si="20"/>
        <v>0.43703550939097113</v>
      </c>
    </row>
    <row r="129" spans="1:16">
      <c r="A129" s="4">
        <v>41760</v>
      </c>
      <c r="B129" s="58">
        <f t="shared" si="12"/>
        <v>29.031383048323374</v>
      </c>
      <c r="C129" s="7">
        <f t="shared" si="21"/>
        <v>100.27570669196557</v>
      </c>
      <c r="D129" s="7">
        <f t="shared" si="13"/>
        <v>481.67549638385202</v>
      </c>
      <c r="E129" s="7">
        <f t="shared" si="14"/>
        <v>0</v>
      </c>
      <c r="F129" s="7">
        <f t="shared" si="22"/>
        <v>314.82058587179876</v>
      </c>
      <c r="G129" s="7"/>
      <c r="H129" s="7">
        <f>VLOOKUP($A129,GovGener!$A$29:$M$136,11)</f>
        <v>771.99004404440552</v>
      </c>
      <c r="I129" s="7">
        <f t="shared" si="15"/>
        <v>801.02142709272891</v>
      </c>
      <c r="J129" s="7">
        <f t="shared" si="16"/>
        <v>901.29713378469444</v>
      </c>
      <c r="K129" s="65">
        <f t="shared" si="17"/>
        <v>1697.7932160403452</v>
      </c>
      <c r="M129" s="24">
        <f t="shared" si="18"/>
        <v>0.43703550939097119</v>
      </c>
      <c r="O129" s="18">
        <f t="shared" si="19"/>
        <v>0.43703550939097119</v>
      </c>
      <c r="P129" s="18">
        <f t="shared" si="20"/>
        <v>0.43703550939097113</v>
      </c>
    </row>
    <row r="130" spans="1:16">
      <c r="A130" s="4">
        <v>41791</v>
      </c>
      <c r="B130" s="58">
        <f t="shared" si="12"/>
        <v>29.031383048323374</v>
      </c>
      <c r="C130" s="7">
        <f t="shared" si="21"/>
        <v>100.27570669196557</v>
      </c>
      <c r="D130" s="7">
        <f t="shared" si="13"/>
        <v>481.67549638385202</v>
      </c>
      <c r="E130" s="7">
        <f t="shared" si="14"/>
        <v>0</v>
      </c>
      <c r="F130" s="7">
        <f t="shared" si="22"/>
        <v>314.82058587179876</v>
      </c>
      <c r="G130" s="7"/>
      <c r="H130" s="7">
        <f>VLOOKUP($A130,GovGener!$A$29:$M$136,11)</f>
        <v>771.99004404440552</v>
      </c>
      <c r="I130" s="7">
        <f t="shared" si="15"/>
        <v>801.02142709272891</v>
      </c>
      <c r="J130" s="7">
        <f t="shared" si="16"/>
        <v>901.29713378469444</v>
      </c>
      <c r="K130" s="65">
        <f t="shared" si="17"/>
        <v>1697.7932160403452</v>
      </c>
      <c r="M130" s="24">
        <f t="shared" si="18"/>
        <v>0.43703550939097119</v>
      </c>
      <c r="O130" s="18">
        <f t="shared" si="19"/>
        <v>0.43703550939097119</v>
      </c>
      <c r="P130" s="18">
        <f t="shared" si="20"/>
        <v>0.43703550939097113</v>
      </c>
    </row>
    <row r="131" spans="1:16">
      <c r="A131" s="4">
        <v>41821</v>
      </c>
      <c r="B131" s="58">
        <f t="shared" si="12"/>
        <v>29.031383048323374</v>
      </c>
      <c r="C131" s="7">
        <f t="shared" si="21"/>
        <v>100.27570669196557</v>
      </c>
      <c r="D131" s="7">
        <f t="shared" si="13"/>
        <v>481.67549638385202</v>
      </c>
      <c r="E131" s="7">
        <f t="shared" si="14"/>
        <v>0</v>
      </c>
      <c r="F131" s="7">
        <f t="shared" si="22"/>
        <v>314.82058587179876</v>
      </c>
      <c r="G131" s="7"/>
      <c r="H131" s="7">
        <f>VLOOKUP($A131,GovGener!$A$29:$M$136,11)</f>
        <v>771.99004404440552</v>
      </c>
      <c r="I131" s="7">
        <f t="shared" si="15"/>
        <v>801.02142709272891</v>
      </c>
      <c r="J131" s="7">
        <f t="shared" si="16"/>
        <v>901.29713378469444</v>
      </c>
      <c r="K131" s="65">
        <f t="shared" si="17"/>
        <v>1697.7932160403452</v>
      </c>
      <c r="M131" s="24">
        <f t="shared" si="18"/>
        <v>0.43703550939097119</v>
      </c>
      <c r="O131" s="18">
        <f t="shared" si="19"/>
        <v>0.43703550939097119</v>
      </c>
      <c r="P131" s="18">
        <f t="shared" si="20"/>
        <v>0.43703550939097119</v>
      </c>
    </row>
    <row r="132" spans="1:16">
      <c r="A132" s="4">
        <v>41852</v>
      </c>
      <c r="B132" s="58">
        <f t="shared" si="12"/>
        <v>29.031383048323374</v>
      </c>
      <c r="C132" s="7">
        <f t="shared" si="21"/>
        <v>100.27570669196557</v>
      </c>
      <c r="D132" s="7">
        <f t="shared" si="13"/>
        <v>481.67549638385202</v>
      </c>
      <c r="E132" s="7">
        <f t="shared" si="14"/>
        <v>0</v>
      </c>
      <c r="F132" s="7">
        <f t="shared" si="22"/>
        <v>314.82058587179876</v>
      </c>
      <c r="G132" s="7"/>
      <c r="H132" s="7">
        <f>VLOOKUP($A132,GovGener!$A$29:$M$136,11)</f>
        <v>771.99004404440552</v>
      </c>
      <c r="I132" s="7">
        <f t="shared" si="15"/>
        <v>801.02142709272891</v>
      </c>
      <c r="J132" s="7">
        <f t="shared" si="16"/>
        <v>901.29713378469444</v>
      </c>
      <c r="K132" s="65">
        <f t="shared" si="17"/>
        <v>1697.7932160403452</v>
      </c>
      <c r="M132" s="24">
        <f t="shared" si="18"/>
        <v>0.43703550939097119</v>
      </c>
      <c r="O132" s="18">
        <f t="shared" si="19"/>
        <v>0.43703550939097119</v>
      </c>
      <c r="P132" s="18">
        <f t="shared" si="20"/>
        <v>0.43703550939097119</v>
      </c>
    </row>
    <row r="133" spans="1:16">
      <c r="A133" s="4">
        <v>41883</v>
      </c>
      <c r="B133" s="58">
        <f t="shared" si="12"/>
        <v>29.031383048323374</v>
      </c>
      <c r="C133" s="7">
        <f t="shared" si="21"/>
        <v>100.27570669196557</v>
      </c>
      <c r="D133" s="7">
        <f t="shared" si="13"/>
        <v>481.67549638385202</v>
      </c>
      <c r="E133" s="7">
        <f t="shared" si="14"/>
        <v>0</v>
      </c>
      <c r="F133" s="7">
        <f t="shared" si="22"/>
        <v>314.82058587179876</v>
      </c>
      <c r="G133" s="7"/>
      <c r="H133" s="7">
        <f>VLOOKUP($A133,GovGener!$A$29:$M$136,11)</f>
        <v>771.99004404440552</v>
      </c>
      <c r="I133" s="7">
        <f t="shared" si="15"/>
        <v>801.02142709272891</v>
      </c>
      <c r="J133" s="7">
        <f t="shared" si="16"/>
        <v>901.29713378469444</v>
      </c>
      <c r="K133" s="65">
        <f t="shared" si="17"/>
        <v>1697.7932160403452</v>
      </c>
      <c r="M133" s="24">
        <f t="shared" si="18"/>
        <v>0.43703550939097119</v>
      </c>
      <c r="O133" s="18">
        <f t="shared" si="19"/>
        <v>0.43703550939097119</v>
      </c>
      <c r="P133" s="18">
        <f t="shared" si="20"/>
        <v>0.43703550939097119</v>
      </c>
    </row>
    <row r="134" spans="1:16">
      <c r="A134" s="4">
        <v>41913</v>
      </c>
      <c r="B134" s="58">
        <f t="shared" si="12"/>
        <v>29.031383048323374</v>
      </c>
      <c r="C134" s="7">
        <f t="shared" si="21"/>
        <v>100.27570669196557</v>
      </c>
      <c r="D134" s="7">
        <f t="shared" si="13"/>
        <v>481.67549638385202</v>
      </c>
      <c r="E134" s="7">
        <f t="shared" si="14"/>
        <v>0</v>
      </c>
      <c r="F134" s="7">
        <f t="shared" si="22"/>
        <v>314.82058587179876</v>
      </c>
      <c r="G134" s="7"/>
      <c r="H134" s="7">
        <f>VLOOKUP($A134,GovGener!$A$29:$M$136,11)</f>
        <v>771.99004404440552</v>
      </c>
      <c r="I134" s="7">
        <f t="shared" si="15"/>
        <v>801.02142709272891</v>
      </c>
      <c r="J134" s="7">
        <f t="shared" si="16"/>
        <v>901.29713378469444</v>
      </c>
      <c r="K134" s="65">
        <f t="shared" si="17"/>
        <v>1697.7932160403452</v>
      </c>
      <c r="M134" s="24">
        <f t="shared" si="18"/>
        <v>0.43703550939097119</v>
      </c>
      <c r="O134" s="18">
        <f t="shared" si="19"/>
        <v>0.43703550939097119</v>
      </c>
      <c r="P134" s="18">
        <f t="shared" si="20"/>
        <v>0.43703550939097119</v>
      </c>
    </row>
    <row r="135" spans="1:16">
      <c r="A135" s="4">
        <v>41944</v>
      </c>
      <c r="B135" s="58">
        <f t="shared" si="12"/>
        <v>29.031383048323374</v>
      </c>
      <c r="C135" s="7">
        <f t="shared" si="21"/>
        <v>100.27570669196557</v>
      </c>
      <c r="D135" s="7">
        <f t="shared" si="13"/>
        <v>481.67549638385202</v>
      </c>
      <c r="E135" s="7">
        <f t="shared" si="14"/>
        <v>0</v>
      </c>
      <c r="F135" s="7">
        <f t="shared" si="22"/>
        <v>314.82058587179876</v>
      </c>
      <c r="G135" s="7"/>
      <c r="H135" s="7">
        <f>VLOOKUP($A135,GovGener!$A$29:$M$136,11)</f>
        <v>771.99004404440552</v>
      </c>
      <c r="I135" s="7">
        <f t="shared" si="15"/>
        <v>801.02142709272891</v>
      </c>
      <c r="J135" s="7">
        <f t="shared" si="16"/>
        <v>901.29713378469444</v>
      </c>
      <c r="K135" s="65">
        <f t="shared" si="17"/>
        <v>1697.7932160403452</v>
      </c>
      <c r="M135" s="24">
        <f t="shared" si="18"/>
        <v>0.43703550939097119</v>
      </c>
      <c r="O135" s="18">
        <f t="shared" si="19"/>
        <v>0.43703550939097119</v>
      </c>
      <c r="P135" s="18">
        <f t="shared" si="20"/>
        <v>0.43703550939097119</v>
      </c>
    </row>
    <row r="136" spans="1:16">
      <c r="A136" s="4">
        <v>41974</v>
      </c>
      <c r="B136" s="58">
        <f t="shared" si="12"/>
        <v>29.031383048323374</v>
      </c>
      <c r="C136" s="7">
        <f t="shared" si="21"/>
        <v>100.27570669196557</v>
      </c>
      <c r="D136" s="7">
        <f t="shared" si="13"/>
        <v>481.67549638385202</v>
      </c>
      <c r="E136" s="7">
        <f t="shared" si="14"/>
        <v>0</v>
      </c>
      <c r="F136" s="7">
        <f t="shared" si="22"/>
        <v>314.82058587179876</v>
      </c>
      <c r="G136" s="7"/>
      <c r="H136" s="7">
        <f>VLOOKUP($A136,GovGener!$A$29:$M$136,11)</f>
        <v>771.99004404440552</v>
      </c>
      <c r="I136" s="7">
        <f t="shared" si="15"/>
        <v>801.02142709272891</v>
      </c>
      <c r="J136" s="7">
        <f t="shared" si="16"/>
        <v>901.29713378469444</v>
      </c>
      <c r="K136" s="65">
        <f t="shared" si="17"/>
        <v>1697.7932160403452</v>
      </c>
      <c r="M136" s="24">
        <f t="shared" si="18"/>
        <v>0.43703550939097119</v>
      </c>
      <c r="O136" s="18">
        <f t="shared" si="19"/>
        <v>0.43703550939097119</v>
      </c>
      <c r="P136" s="18">
        <f t="shared" si="20"/>
        <v>0.43703550939097119</v>
      </c>
    </row>
    <row r="139" spans="1:16">
      <c r="A139" s="6"/>
    </row>
    <row r="140" spans="1:16">
      <c r="A140" s="10"/>
      <c r="B140" s="8"/>
      <c r="C140" s="8"/>
      <c r="D140" s="8"/>
      <c r="E140" s="8"/>
      <c r="F140" s="8"/>
      <c r="G140" s="8"/>
      <c r="H140" s="8"/>
      <c r="I140" s="8"/>
      <c r="J140" s="8"/>
    </row>
    <row r="141" spans="1:16">
      <c r="A141" s="10"/>
      <c r="B141" s="8"/>
      <c r="C141" s="8"/>
      <c r="D141" s="8"/>
      <c r="E141" s="8"/>
      <c r="F141" s="8"/>
      <c r="G141" s="8"/>
      <c r="H141" s="8"/>
      <c r="I141" s="8"/>
      <c r="J141" s="8"/>
    </row>
    <row r="142" spans="1:16">
      <c r="A142" s="10"/>
      <c r="B142" s="8"/>
      <c r="C142" s="8"/>
      <c r="D142" s="8"/>
      <c r="E142" s="8"/>
      <c r="F142" s="8"/>
      <c r="G142" s="8"/>
      <c r="H142" s="8"/>
      <c r="I142" s="8"/>
      <c r="J142" s="8"/>
    </row>
    <row r="143" spans="1:16">
      <c r="A143" s="10"/>
      <c r="B143" s="8"/>
      <c r="C143" s="8"/>
      <c r="D143" s="8"/>
      <c r="E143" s="8"/>
      <c r="F143" s="8"/>
      <c r="G143" s="8"/>
      <c r="H143" s="8"/>
      <c r="I143" s="8"/>
      <c r="J143" s="8"/>
    </row>
    <row r="144" spans="1:16">
      <c r="A144" s="10"/>
      <c r="B144" s="8"/>
      <c r="C144" s="8"/>
      <c r="D144" s="8"/>
      <c r="E144" s="8"/>
      <c r="F144" s="8"/>
      <c r="G144" s="8"/>
      <c r="H144" s="8"/>
      <c r="I144" s="8"/>
      <c r="J144" s="8"/>
    </row>
  </sheetData>
  <mergeCells count="3">
    <mergeCell ref="B13:C13"/>
    <mergeCell ref="B3:C3"/>
    <mergeCell ref="H21:K21"/>
  </mergeCells>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dimension ref="A1:J16"/>
  <sheetViews>
    <sheetView workbookViewId="0"/>
  </sheetViews>
  <sheetFormatPr defaultRowHeight="15"/>
  <cols>
    <col min="1" max="1" width="32" bestFit="1" customWidth="1"/>
    <col min="9" max="9" width="42.140625" bestFit="1" customWidth="1"/>
  </cols>
  <sheetData>
    <row r="1" spans="1:10">
      <c r="A1" t="s">
        <v>400</v>
      </c>
    </row>
    <row r="3" spans="1:10">
      <c r="B3" s="69" t="s">
        <v>402</v>
      </c>
      <c r="C3" s="2" t="s">
        <v>368</v>
      </c>
      <c r="D3" s="2" t="s">
        <v>405</v>
      </c>
    </row>
    <row r="4" spans="1:10">
      <c r="A4" t="s">
        <v>403</v>
      </c>
      <c r="B4" s="7">
        <f>AVERAGE(AvgMargWorker!K$50:K$52)</f>
        <v>1569.4266773633726</v>
      </c>
      <c r="C4" s="7">
        <f>AVERAGE(AvgMargWorker!K$74:K$76)</f>
        <v>1880.4065979110499</v>
      </c>
      <c r="D4" s="7">
        <f>C4-B4</f>
        <v>310.97992054767724</v>
      </c>
    </row>
    <row r="5" spans="1:10">
      <c r="A5" t="s">
        <v>406</v>
      </c>
      <c r="B5" s="7">
        <f>AVERAGE(GovGener!B$50:B$52)*Tbl3.5!$F$8</f>
        <v>291.43302478952586</v>
      </c>
      <c r="C5" s="7">
        <f>AVERAGE(GovGener!B$74:B$76)*Tbl3.5!$F$8</f>
        <v>535.15765212654765</v>
      </c>
      <c r="D5" s="7">
        <f>C5-B5</f>
        <v>243.72462733702179</v>
      </c>
      <c r="G5" s="18">
        <f t="shared" ref="G5:G13" si="0">H5/H$13</f>
        <v>0.36278497994278924</v>
      </c>
      <c r="H5" s="7">
        <f>D11</f>
        <v>112.81884423849928</v>
      </c>
      <c r="I5" t="s">
        <v>417</v>
      </c>
      <c r="J5" t="str">
        <f>I5&amp;" ("&amp;TEXT(G5,"0%")&amp;")"</f>
        <v>increase UI duration (36%)</v>
      </c>
    </row>
    <row r="6" spans="1:10">
      <c r="A6" t="s">
        <v>94</v>
      </c>
      <c r="B6" s="7">
        <f>AVERAGE(GovGener!D$50:D$52)*Tbl3.5!$F$9</f>
        <v>100.82465780007421</v>
      </c>
      <c r="C6" s="7">
        <f>AVERAGE(GovGener!D$74:D$76)*Tbl3.5!$F$9</f>
        <v>150.04993417019199</v>
      </c>
      <c r="D6" s="7">
        <f>C6-B6</f>
        <v>49.225276370117783</v>
      </c>
      <c r="G6" s="18">
        <f t="shared" si="0"/>
        <v>0.11478181238641599</v>
      </c>
      <c r="H6" s="7">
        <f>D16</f>
        <v>35.69483889624604</v>
      </c>
      <c r="I6" t="s">
        <v>418</v>
      </c>
      <c r="J6" t="str">
        <f t="shared" ref="J6:J12" si="1">I6&amp;" ("&amp;TEXT(G6,"0%")&amp;")"</f>
        <v>subsidize COBRA payments (11%)</v>
      </c>
    </row>
    <row r="7" spans="1:10">
      <c r="A7" t="s">
        <v>404</v>
      </c>
      <c r="B7" s="7">
        <f>AVERAGE(AvgMargWorker!B$50:B$52)</f>
        <v>13.200548043965084</v>
      </c>
      <c r="C7" s="7">
        <f>AVERAGE(AvgMargWorker!B$74:B$76)</f>
        <v>31.230564884502758</v>
      </c>
      <c r="D7" s="7">
        <f>C7-B7</f>
        <v>18.030016840537677</v>
      </c>
      <c r="G7" s="18">
        <f t="shared" si="0"/>
        <v>4.5296664818824703E-2</v>
      </c>
      <c r="H7" s="7">
        <f>D15</f>
        <v>14.086353226432873</v>
      </c>
      <c r="I7" t="s">
        <v>419</v>
      </c>
      <c r="J7" t="str">
        <f t="shared" si="1"/>
        <v>exempt part of UI benefits from federal inc. tax (5%)</v>
      </c>
    </row>
    <row r="8" spans="1:10">
      <c r="A8" t="s">
        <v>408</v>
      </c>
      <c r="B8" s="7">
        <f>AVERAGE(UIBen!$K$50:$K$52)*AVERAGE(UIElg!$K$50:$K$52)*Tbl3.5!$F$8</f>
        <v>291.43302478952586</v>
      </c>
      <c r="C8" s="7">
        <f>AVERAGE(UIBen!$K$50:$K$52)*AVERAGE(UIElg!$K$74:$K$76)*Tbl3.5!$F$8</f>
        <v>423.33484567670763</v>
      </c>
      <c r="D8" s="7">
        <f>AVERAGE(UIBen!$K$50:$K$52)*(AVERAGE(UIElg!$K$74:$K$76)-AVERAGE(UIElg!$K$50:$K$52))*Tbl3.5!$F$8</f>
        <v>131.90182088718174</v>
      </c>
      <c r="G8" s="18">
        <f t="shared" si="0"/>
        <v>8.7465740095904562E-2</v>
      </c>
      <c r="H8" s="7">
        <f>D14</f>
        <v>27.200088905668188</v>
      </c>
      <c r="I8" t="s">
        <v>420</v>
      </c>
      <c r="J8" t="str">
        <f t="shared" si="1"/>
        <v>federal additional UI (9%)</v>
      </c>
    </row>
    <row r="9" spans="1:10">
      <c r="A9" t="s">
        <v>407</v>
      </c>
      <c r="B9" s="7">
        <f>AVERAGE(UIBen!$K$50:$K$52)*AVERAGE(UIElg!$K$50:$K$52)*Tbl3.5!$F$8</f>
        <v>291.43302478952586</v>
      </c>
      <c r="C9" s="7">
        <f>AVERAGE(UIBen!$K$74:$K$76)*AVERAGE(UIElg!$K$50:$K$52)*Tbl3.5!$F$8</f>
        <v>368.41430581787296</v>
      </c>
      <c r="D9" s="7">
        <f>AVERAGE(UIElg!$K$50:$K$52)*(AVERAGE(UIBen!$K$74:$K$76)-AVERAGE(UIBen!$K$50:$K$52))*Tbl3.5!$F$8</f>
        <v>76.981281028347084</v>
      </c>
      <c r="G9" s="18">
        <f t="shared" si="0"/>
        <v>4.4238510704740677E-2</v>
      </c>
      <c r="H9" s="7">
        <f>D12</f>
        <v>13.757288544107825</v>
      </c>
      <c r="I9" t="s">
        <v>421</v>
      </c>
      <c r="J9" t="str">
        <f t="shared" si="1"/>
        <v>modernize UI eligibility criteria (4%)</v>
      </c>
    </row>
    <row r="10" spans="1:10">
      <c r="A10" t="s">
        <v>409</v>
      </c>
      <c r="D10" s="7">
        <f>(AVERAGE(UIBen!$K$74:$K$76)-AVERAGE(UIBen!$K$50:$K$52))*(AVERAGE(UIElg!$K$74:$K$76)-AVERAGE(UIElg!$K$50:$K$52))*Tbl3.5!$F$8</f>
        <v>34.841525421492911</v>
      </c>
      <c r="G10" s="18">
        <f t="shared" si="0"/>
        <v>0.12916336673868764</v>
      </c>
      <c r="H10" s="7">
        <f>D10+D13</f>
        <v>40.167213526067577</v>
      </c>
      <c r="I10" t="s">
        <v>422</v>
      </c>
      <c r="J10" t="str">
        <f t="shared" si="1"/>
        <v>interactions among UI and related provisions (13%)</v>
      </c>
    </row>
    <row r="11" spans="1:10">
      <c r="A11" t="s">
        <v>410</v>
      </c>
      <c r="D11" s="7">
        <f>AVERAGE(UIBen!$K$50:$K$52)*AVERAGE(UIElg!$B$50:$B$52)*(AVERAGE(UIElg!$H$74:$H$76)-AVERAGE(UIElg!$H$50:$H$52))*Tbl3.5!$F$8/UIElg!$H$27</f>
        <v>112.81884423849928</v>
      </c>
      <c r="G11" s="18">
        <f t="shared" si="0"/>
        <v>0.15829085133029003</v>
      </c>
      <c r="H11" s="7">
        <f>D6</f>
        <v>49.225276370117783</v>
      </c>
      <c r="I11" t="s">
        <v>423</v>
      </c>
      <c r="J11" t="str">
        <f t="shared" si="1"/>
        <v>SNAP (benefits and eligibility) (16%)</v>
      </c>
    </row>
    <row r="12" spans="1:10">
      <c r="A12" t="s">
        <v>411</v>
      </c>
      <c r="D12" s="7">
        <f>AVERAGE(UIBen!$K$50:$K$52)*AVERAGE(UIElg!$H$50:$H$52)*(AVERAGE(UIElg!$B$74:$B$76)-AVERAGE(UIElg!$B$50:$B$52))*Tbl3.5!$F$8/UIElg!$H$27</f>
        <v>13.757288544107825</v>
      </c>
      <c r="G12" s="78">
        <f t="shared" si="0"/>
        <v>5.7978073982347174E-2</v>
      </c>
      <c r="H12" s="77">
        <f>D7</f>
        <v>18.030016840537677</v>
      </c>
      <c r="I12" s="76" t="s">
        <v>404</v>
      </c>
      <c r="J12" t="str">
        <f t="shared" si="1"/>
        <v>means-tested mortgage modification (6%)</v>
      </c>
    </row>
    <row r="13" spans="1:10">
      <c r="A13" t="s">
        <v>412</v>
      </c>
      <c r="D13" s="7">
        <f>AVERAGE(UIBen!$K$50:$K$52)*(AVERAGE(UIElg!$H$74:$H$76)-AVERAGE(UIElg!$H$50:$H$52))*(AVERAGE(UIElg!$B$74:$B$76)-AVERAGE(UIElg!$B$50:$B$52))*Tbl3.5!$F$8/UIElg!$H$27</f>
        <v>5.3256881045746658</v>
      </c>
      <c r="G13" s="18">
        <f t="shared" si="0"/>
        <v>1</v>
      </c>
      <c r="H13" s="7">
        <f>SUM(H5:H12)</f>
        <v>310.97992054767724</v>
      </c>
      <c r="I13" t="s">
        <v>424</v>
      </c>
    </row>
    <row r="14" spans="1:10">
      <c r="A14" t="s">
        <v>413</v>
      </c>
      <c r="D14" s="7">
        <f>AVERAGE(UIElg!$K$50:$K$52)*(AVERAGE(UIBen!$C$74:$C$76)-AVERAGE(UIBen!$C$50:$C$52)+AVERAGE(UIBen!$D$74:$D$76)-AVERAGE(UIBen!$D$50:$D$52))*Tbl3.5!$F$8</f>
        <v>27.200088905668188</v>
      </c>
    </row>
    <row r="15" spans="1:10">
      <c r="A15" t="s">
        <v>414</v>
      </c>
      <c r="D15" s="7">
        <f>AVERAGE(UIElg!$K$50:$K$52)*(AVERAGE(UIBen!$E$74:$E$76)-AVERAGE(UIBen!$E$50:$E$52))*Tbl3.5!$F$8</f>
        <v>14.086353226432873</v>
      </c>
    </row>
    <row r="16" spans="1:10">
      <c r="A16" t="s">
        <v>416</v>
      </c>
      <c r="D16" s="7">
        <f>AVERAGE(UIElg!$K$50:$K$52)*(AVERAGE(UIBen!$F$74:$F$76)-AVERAGE(UIBen!$F$50:$F$52)+AVERAGE(UIBen!$G$74:$G$76)-AVERAGE(UIBen!$G$50:$G$52))*Tbl3.5!$F$8</f>
        <v>35.69483889624604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E24"/>
  <sheetViews>
    <sheetView workbookViewId="0"/>
  </sheetViews>
  <sheetFormatPr defaultRowHeight="15"/>
  <sheetData>
    <row r="1" spans="1:5">
      <c r="A1" t="s">
        <v>435</v>
      </c>
    </row>
    <row r="3" spans="1:5">
      <c r="A3" t="s">
        <v>454</v>
      </c>
      <c r="B3" s="8">
        <f>C3*D3</f>
        <v>0.24929580187722752</v>
      </c>
      <c r="C3" s="8">
        <f>AVERAGE(UIElg!K50:K52)</f>
        <v>0.67985009157916287</v>
      </c>
      <c r="D3" s="8">
        <f>Tbl3.5!F8</f>
        <v>0.36669231197448343</v>
      </c>
      <c r="E3" t="s">
        <v>436</v>
      </c>
    </row>
    <row r="4" spans="1:5">
      <c r="A4" t="s">
        <v>455</v>
      </c>
      <c r="B4" s="8">
        <f>C4*D4</f>
        <v>0.36212642644657528</v>
      </c>
      <c r="C4" s="8">
        <f>AVERAGE(UIElg!K74:K76)</f>
        <v>0.9875484558066604</v>
      </c>
      <c r="D4" s="8">
        <f>D3</f>
        <v>0.36669231197448343</v>
      </c>
      <c r="E4" t="s">
        <v>437</v>
      </c>
    </row>
    <row r="5" spans="1:5">
      <c r="A5" t="s">
        <v>456</v>
      </c>
      <c r="B5" s="18">
        <f>UIBen!$B$14</f>
        <v>1169.0249999999999</v>
      </c>
      <c r="E5" t="s">
        <v>473</v>
      </c>
    </row>
    <row r="6" spans="1:5">
      <c r="A6" t="s">
        <v>472</v>
      </c>
      <c r="B6" s="18">
        <f>AVERAGE(UIBen!C74:C76)+AVERAGE(UIBen!D74:D76)+AVERAGE(UIBen!E74:E76)+AVERAGE(UIBen!F74:F76)+AVERAGE(UIBen!G74:G76)</f>
        <v>308.79493536862134</v>
      </c>
    </row>
    <row r="7" spans="1:5">
      <c r="A7" t="s">
        <v>457</v>
      </c>
      <c r="B7">
        <f>400*52/12</f>
        <v>1733.3333333333333</v>
      </c>
      <c r="E7" t="s">
        <v>438</v>
      </c>
    </row>
    <row r="8" spans="1:5">
      <c r="A8" t="s">
        <v>458</v>
      </c>
      <c r="B8">
        <v>0.4</v>
      </c>
      <c r="E8" t="s">
        <v>439</v>
      </c>
    </row>
    <row r="9" spans="1:5">
      <c r="A9" t="s">
        <v>459</v>
      </c>
      <c r="B9">
        <f>AvgMargWorker!$B$6*52/12</f>
        <v>3148.2058587179872</v>
      </c>
      <c r="E9" t="s">
        <v>440</v>
      </c>
    </row>
    <row r="10" spans="1:5">
      <c r="A10" t="s">
        <v>460</v>
      </c>
      <c r="B10">
        <f>0.263*1063</f>
        <v>279.56900000000002</v>
      </c>
      <c r="E10" t="s">
        <v>441</v>
      </c>
    </row>
    <row r="11" spans="1:5">
      <c r="A11" t="s">
        <v>474</v>
      </c>
      <c r="B11">
        <v>491</v>
      </c>
      <c r="E11" t="s">
        <v>442</v>
      </c>
    </row>
    <row r="12" spans="1:5">
      <c r="A12" t="s">
        <v>461</v>
      </c>
      <c r="B12" s="8">
        <f t="shared" ref="B12:B17" si="0">C12*D12</f>
        <v>0.40008397464181483</v>
      </c>
      <c r="C12" s="8">
        <f>AVERAGE(SNAPElg!K50:K52)</f>
        <v>0.81898193045010081</v>
      </c>
      <c r="D12" s="8">
        <f>Tbl3.5!F9</f>
        <v>0.48851379959254337</v>
      </c>
      <c r="E12" t="s">
        <v>443</v>
      </c>
    </row>
    <row r="13" spans="1:5">
      <c r="A13" t="s">
        <v>462</v>
      </c>
      <c r="B13" s="8">
        <f t="shared" si="0"/>
        <v>0.47252371302599988</v>
      </c>
      <c r="C13" s="8">
        <f>AVERAGE(SNAPElg!K74:K76)</f>
        <v>0.96726789175683392</v>
      </c>
      <c r="D13" s="8">
        <f>D12</f>
        <v>0.48851379959254337</v>
      </c>
      <c r="E13" t="s">
        <v>444</v>
      </c>
    </row>
    <row r="14" spans="1:5">
      <c r="A14" t="s">
        <v>475</v>
      </c>
      <c r="B14" s="61">
        <f t="shared" si="0"/>
        <v>324.00024377031423</v>
      </c>
      <c r="C14" s="7">
        <v>306</v>
      </c>
      <c r="D14" s="81">
        <f>SNAPBen!$B$13/AVERAGE(FREDconnect!$B$17:$B$28)</f>
        <v>1.0588243260467785</v>
      </c>
      <c r="E14" t="s">
        <v>478</v>
      </c>
    </row>
    <row r="15" spans="1:5">
      <c r="A15" t="s">
        <v>476</v>
      </c>
      <c r="B15" s="61">
        <f t="shared" si="0"/>
        <v>382</v>
      </c>
      <c r="C15" s="7">
        <v>382</v>
      </c>
      <c r="D15" s="8">
        <v>1</v>
      </c>
      <c r="E15" t="s">
        <v>477</v>
      </c>
    </row>
    <row r="16" spans="1:5">
      <c r="A16" t="s">
        <v>463</v>
      </c>
      <c r="B16" s="61">
        <f t="shared" si="0"/>
        <v>167.51908747127351</v>
      </c>
      <c r="C16" s="7">
        <f>MedicaidElgBen!$B$11</f>
        <v>357.99499046158445</v>
      </c>
      <c r="D16" s="8">
        <f>Tbl3.5!F10</f>
        <v>0.46793695983086547</v>
      </c>
      <c r="E16" t="s">
        <v>445</v>
      </c>
    </row>
    <row r="17" spans="1:5">
      <c r="A17" t="s">
        <v>464</v>
      </c>
      <c r="B17" s="61">
        <f t="shared" si="0"/>
        <v>99.677570310917588</v>
      </c>
      <c r="C17" s="61">
        <f>OtherElgBen!$M$27</f>
        <v>233.64724974684938</v>
      </c>
      <c r="D17" s="8">
        <f>Tbl3.5!F11</f>
        <v>0.42661563711499106</v>
      </c>
      <c r="E17" t="s">
        <v>446</v>
      </c>
    </row>
    <row r="18" spans="1:5">
      <c r="A18" t="s">
        <v>465</v>
      </c>
      <c r="B18">
        <f>0.153+0.1</f>
        <v>0.253</v>
      </c>
      <c r="E18" t="s">
        <v>447</v>
      </c>
    </row>
    <row r="19" spans="1:5">
      <c r="A19" t="s">
        <v>466</v>
      </c>
      <c r="B19" s="8">
        <f>AvgMargWorker!$D$18/AvgMargWorker!$D$19</f>
        <v>1.2339709793569438</v>
      </c>
      <c r="E19" t="s">
        <v>448</v>
      </c>
    </row>
    <row r="20" spans="1:5">
      <c r="A20" t="s">
        <v>467</v>
      </c>
      <c r="B20" s="7">
        <f>AVERAGE(AvgMargWorker!J50:J52)</f>
        <v>772.93059510772184</v>
      </c>
      <c r="E20" t="s">
        <v>449</v>
      </c>
    </row>
    <row r="21" spans="1:5">
      <c r="A21" t="s">
        <v>468</v>
      </c>
      <c r="B21" s="7">
        <f>AVERAGE(AvgMargWorker!J74:J76)</f>
        <v>1083.9105156553992</v>
      </c>
      <c r="E21" t="s">
        <v>450</v>
      </c>
    </row>
    <row r="22" spans="1:5">
      <c r="A22" t="s">
        <v>469</v>
      </c>
      <c r="B22">
        <v>1526</v>
      </c>
      <c r="E22" t="s">
        <v>451</v>
      </c>
    </row>
    <row r="23" spans="1:5">
      <c r="A23" t="s">
        <v>470</v>
      </c>
      <c r="B23" s="81">
        <f>(B20-AVERAGE(AvgMargWorker!H50:H52))/AvgMargWorker!$B$8</f>
        <v>2.9210361028512058E-2</v>
      </c>
      <c r="D23" s="7"/>
      <c r="E23" t="s">
        <v>452</v>
      </c>
    </row>
    <row r="24" spans="1:5">
      <c r="A24" t="s">
        <v>471</v>
      </c>
      <c r="B24" s="81">
        <f>(B21-AVERAGE(AvgMargWorker!H74:H76))/AvgMargWorker!$B$8</f>
        <v>3.3851537303564959E-2</v>
      </c>
      <c r="D24" s="7"/>
      <c r="E24" t="s">
        <v>453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D34"/>
  <sheetViews>
    <sheetView workbookViewId="0"/>
  </sheetViews>
  <sheetFormatPr defaultRowHeight="15"/>
  <sheetData>
    <row r="1" spans="1:4">
      <c r="A1" t="s">
        <v>486</v>
      </c>
    </row>
    <row r="3" spans="1:4">
      <c r="A3">
        <f>VLOOKUP(2007,CPSMORG!$A$7:$G$11,5)-VLOOKUP(2009,CPSMORG!$A$7:$G$11,5)</f>
        <v>5.1801999999999992</v>
      </c>
      <c r="B3" s="8" t="str">
        <f>"Overall, employment fell, and non-employment increased, about "&amp;TEXT(A3,"0")&amp;" million between 2007 and 2009"</f>
        <v>Overall, employment fell, and non-employment increased, about 5 million between 2007 and 2009</v>
      </c>
      <c r="C3" s="8"/>
      <c r="D3" s="8"/>
    </row>
    <row r="4" spans="1:4">
      <c r="A4">
        <f>(VLOOKUP(2009,CPSMORG!$A$7:$G$11,2)+VLOOKUP(2009,CPSMORG!$A$7:$G$11,3))/(VLOOKUP(2007,CPSMORG!$A$7:$G$11,2)+VLOOKUP(2007,CPSMORG!$A$7:$G$11,3))-1</f>
        <v>0.14046215332552081</v>
      </c>
      <c r="B4" s="8" t="str">
        <f>"Between 2007 and 2009, the number of household heads and spouses not working increased "&amp;TEXT(A4,"0%")</f>
        <v>Between 2007 and 2009, the number of household heads and spouses not working increased 14%</v>
      </c>
      <c r="C4" s="8"/>
      <c r="D4" s="8"/>
    </row>
    <row r="5" spans="1:4">
      <c r="A5" s="18">
        <f>CPSMORG!$F$11</f>
        <v>41.297890000000002</v>
      </c>
      <c r="B5" s="18" t="str">
        <f>"Thus, total underemployment in 2009 is three percent of the number of people employed, plus the number of persons not employed, which is a total of "&amp;TEXT(A5,"0")&amp;" million"</f>
        <v>Thus, total underemployment in 2009 is three percent of the number of people employed, plus the number of persons not employed, which is a total of 41 million</v>
      </c>
    </row>
    <row r="6" spans="1:4">
      <c r="A6" s="18">
        <f>UIBen!E25</f>
        <v>56.50457456708429</v>
      </c>
      <c r="B6" s="18" t="str">
        <f>"Because the provision serves to reduce that person’s personal income tax, I estimate it to be worth about "&amp;TEXT(A6,"$0")&amp;" per month for each of the nine months April 2009 through December 2009"</f>
        <v>Because the provision serves to reduce that person’s personal income tax, I estimate it to be worth about $57 per month for each of the nine months April 2009 through December 2009</v>
      </c>
    </row>
    <row r="7" spans="1:4">
      <c r="A7">
        <f>13027*0.65/12</f>
        <v>705.62916666666672</v>
      </c>
      <c r="B7" t="str">
        <f>"For a $13,027 annual family health insurance premium (Crimmel 2010), that subsidy is worth "&amp;TEXT(A7,"$0")&amp;" per month"</f>
        <v>For a $13,027 annual family health insurance premium (Crimmel 2010), that subsidy is worth $706 per month</v>
      </c>
    </row>
    <row r="8" spans="1:4">
      <c r="A8" s="18">
        <f>UIBen!$F$25</f>
        <v>143.1826714588035</v>
      </c>
      <c r="B8" t="str">
        <f>"However, I estimate that the number of people receiving the benefit when it was available was only "&amp;TEXT(UIBen!$B$9,"0%")&amp;" of the number of people receiving unemployment benefits, so the effect of the provision on the index is only "&amp;TEXT(A8,"$0")&amp;" per month"</f>
        <v>However, I estimate that the number of people receiving the benefit when it was available was only 20% of the number of people receiving unemployment benefits, so the effect of the provision on the index is only $143 per month</v>
      </c>
    </row>
    <row r="9" spans="1:4">
      <c r="A9" s="18">
        <f>SNAPBen!$K$27-SNAPBen!$K$26</f>
        <v>72.902299037733741</v>
      </c>
      <c r="B9" t="str">
        <f>"The net effect of legislation and accumulated inflation was to increase the statutory real SNAP benefit index by "&amp;TEXT(A9,"$0")&amp;" per month from fiscal year 2007 to fiscal year 2010, or about "&amp;TEXT(SNAPBen!$K$27/SNAPBen!$K$26-1,"0%")&amp;" percent"</f>
        <v>The net effect of legislation and accumulated inflation was to increase the statutory real SNAP benefit index by $73 per month from fiscal year 2007 to fiscal year 2010, or about 30% percent</v>
      </c>
    </row>
    <row r="10" spans="1:4">
      <c r="A10" s="80">
        <f>(B11+1)*(A11+1)-1</f>
        <v>0.83629721618900499</v>
      </c>
      <c r="B10" s="8" t="str">
        <f>"From statutory rule changes alone, UI’s eligibility index increased more than 40 percent from the end of 2007 to the end of 2009, and its benefit index increased more than 205 percent, for a combined generosity increase of "&amp;TEXT(A10,"0%")</f>
        <v>From statutory rule changes alone, UI’s eligibility index increased more than 40 percent from the end of 2007 to the end of 2009, and its benefit index increased more than 205 percent, for a combined generosity increase of 84%</v>
      </c>
      <c r="C10" s="8"/>
      <c r="D10" s="8"/>
    </row>
    <row r="11" spans="1:4">
      <c r="A11" s="80">
        <f>AVERAGE(UIElg!$K$74:$K$76)/AVERAGE(UIElg!$K$50:$K$52)-1</f>
        <v>0.45259737115394438</v>
      </c>
      <c r="B11" s="80">
        <f>AVERAGE(UIBen!$K$74:$K$76)/AVERAGE(UIBen!$K$50:$K$52)-1</f>
        <v>0.26414741803521857</v>
      </c>
      <c r="D11" s="8"/>
    </row>
    <row r="12" spans="1:4">
      <c r="A12" s="80">
        <f>(B13+1)*(A13+1)-1</f>
        <v>0.5582399009982737</v>
      </c>
      <c r="B12" s="8" t="str">
        <f>"From statutory rule changes alone, SNAP’s eligibility index increased more than 20 percent from the beginning of 2007 to the beginning of 2010, and its benefit index increased almost 30 percent, for a combined generosity increase of "&amp;TEXT(A12,"0%")</f>
        <v>From statutory rule changes alone, SNAP’s eligibility index increased more than 20 percent from the beginning of 2007 to the beginning of 2010, and its benefit index increased almost 30 percent, for a combined generosity increase of 56%</v>
      </c>
      <c r="C12" s="7"/>
      <c r="D12" s="81"/>
    </row>
    <row r="13" spans="1:4">
      <c r="A13" s="80">
        <f>AVERAGE(SNAPElg!$K$77:$K$79)/AVERAGE(SNAPElg!$K$41:$K$43)-1</f>
        <v>0.20288074425379388</v>
      </c>
      <c r="B13" s="80">
        <f>AVERAGE(SNAPBen!$K$77:$K$79)/AVERAGE(SNAPBen!$K$41:$K$43)-1</f>
        <v>0.29542343116060654</v>
      </c>
      <c r="C13" s="7"/>
      <c r="D13" s="8"/>
    </row>
    <row r="14" spans="1:4">
      <c r="A14" s="18">
        <f>MedicaidWeights!$E$20</f>
        <v>0.93587391966173039</v>
      </c>
      <c r="B14" s="61" t="str">
        <f>"I take the ratio of the change in non-elderly Medicaid enrollment (including children) from June 2007 – June 2010 to the 2007-2010 change in the average weekly number of non-elderly heads and spouses who were not employed or underemployed, which is "&amp;TEXT(A14,"0.00")</f>
        <v>I take the ratio of the change in non-elderly Medicaid enrollment (including children) from June 2007 – June 2010 to the 2007-2010 change in the average weekly number of non-elderly heads and spouses who were not employed or underemployed, which is 0.94</v>
      </c>
      <c r="C14" s="7"/>
      <c r="D14" s="8"/>
    </row>
    <row r="15" spans="1:4">
      <c r="A15" s="18">
        <f>OtherElgBen!$M$27</f>
        <v>233.64724974684938</v>
      </c>
      <c r="B15" s="61" t="str">
        <f>"The average inflation-adjusted monthly benefit is therefore "&amp;TEXT(A15,"$0")&amp;", and the program weight for the population of unemployed heads and spouses is the fraction of them not receiving UI under 2010 eligibility rules, "&amp;TEXT(Tbl3.5!$B$11,"0.00")</f>
        <v>The average inflation-adjusted monthly benefit is therefore $234, and the program weight for the population of unemployed heads and spouses is the fraction of them not receiving UI under 2010 eligibility rules, 0.37</v>
      </c>
      <c r="C15" s="61"/>
      <c r="D15" s="8"/>
    </row>
    <row r="16" spans="1:4">
      <c r="A16" s="18">
        <f>SNAPWeights!$C$7</f>
        <v>0.49537603589865087</v>
      </c>
      <c r="B16" t="str">
        <f>"the ratio of the average number of fiscal year 2010 non-elderly SNAP household heads and spouses who were unemployed during fiscal year 2010 to "&amp;"the weekly average nationwide total number of non-elderly unemployed household heads and spouses (regardless of SNAP participation), which is "&amp;TEXT(A16,"0.00")</f>
        <v>the ratio of the average number of fiscal year 2010 non-elderly SNAP household heads and spouses who were unemployed during fiscal year 2010 to the weekly average nationwide total number of non-elderly unemployed household heads and spouses (regardless of SNAP participation), which is 0.50</v>
      </c>
    </row>
    <row r="17" spans="1:4">
      <c r="A17">
        <f>ROUND(UIWeights!$E$23*UIBen!$B$16*UIBen!$B$14/10,0)*10</f>
        <v>260</v>
      </c>
      <c r="B17" s="8" t="str">
        <f>"Appendix 3.2 estimates that the excluded liabilities amount to about "&amp;TEXT(A17,"$0")&amp;" per month for the average unemployed household head or spouse"</f>
        <v>Appendix 3.2 estimates that the excluded liabilities amount to about $260 per month for the average unemployed household head or spouse</v>
      </c>
    </row>
    <row r="18" spans="1:4">
      <c r="A18" s="7">
        <f>AvgMargWorker!$B$6</f>
        <v>726.50904431953552</v>
      </c>
      <c r="B18" s="7" t="str">
        <f>"When working, both earners earn "&amp;TEXT(A18,"$0")&amp;" per week, or "&amp;TEXT(A18*52/12,"$0,000")&amp;" per month"</f>
        <v>When working, both earners earn $727 per week, or $3,148 per month</v>
      </c>
    </row>
    <row r="19" spans="1:4">
      <c r="A19" s="7">
        <f>AVERAGE(AvgMargWorker!$B$86:$B$97)</f>
        <v>29.128586339779815</v>
      </c>
      <c r="B19" s="7" t="str">
        <f>"As a result, mortgage modification adds a "&amp;TEXT(A19,"$0")&amp;" monthly benefit per month of nonemployment or underemployment"</f>
        <v>As a result, mortgage modification adds a $29 monthly benefit per month of nonemployment or underemployment</v>
      </c>
    </row>
    <row r="20" spans="1:4">
      <c r="A20" s="7">
        <f>AVERAGE(AvgMargWorker!$B$38:$B$49)</f>
        <v>8.2100969541734017</v>
      </c>
      <c r="B20" s="7" t="str">
        <f>"In fiscal year 2007, the monthly benefit was only "&amp;TEXT(A20,"$0")&amp;" because negative home equity was less common."</f>
        <v>In fiscal year 2007, the monthly benefit was only $8 because negative home equity was less common.</v>
      </c>
    </row>
    <row r="21" spans="1:4">
      <c r="A21" s="7">
        <f>AvgMargWorker!$C$29</f>
        <v>100.27570669196557</v>
      </c>
      <c r="B21" s="81" t="str">
        <f>"I average the fiscal year 2007 and 2010 ratios of inflation-adjusted consumer loan discharges by commercial banks to the number of non-elderly heads and spouses not employed or under-employed, which is "&amp;TEXT(A21,"$0")&amp;" at a monthly rate"</f>
        <v>I average the fiscal year 2007 and 2010 ratios of inflation-adjusted consumer loan discharges by commercial banks to the number of non-elderly heads and spouses not employed or under-employed, which is $100 at a monthly rate</v>
      </c>
      <c r="D21" s="7"/>
    </row>
    <row r="22" spans="1:4">
      <c r="A22" s="7">
        <f>AvgMargWorker!$B$9</f>
        <v>481.67549638385202</v>
      </c>
      <c r="B22" s="81" t="str">
        <f>"Prior to 2011, I calculate the payroll tax amount as 15.3 percent of the median monthly earnings of heads and spouses, $3,148 (2010 prices), which is "&amp;TEXT(A22,"$0")</f>
        <v>Prior to 2011, I calculate the payroll tax amount as 15.3 percent of the median monthly earnings of heads and spouses, $3,148 (2010 prices), which is $482</v>
      </c>
      <c r="D22" s="7"/>
    </row>
    <row r="23" spans="1:4">
      <c r="A23" s="7">
        <f>AvgMargWorker!$B$10</f>
        <v>62.964117174359743</v>
      </c>
      <c r="B23" s="81" t="str">
        <f>"Beginning January 2011, it is reduced by "&amp;TEXT(A23,"$0")&amp;" due to the two percentage point FICA payroll tax cut"</f>
        <v>Beginning January 2011, it is reduced by $63 due to the two percentage point FICA payroll tax cut</v>
      </c>
    </row>
    <row r="24" spans="1:4">
      <c r="A24" s="7">
        <f>AVERAGE(AvgMargWorker!K38:K49)</f>
        <v>1560.207703838196</v>
      </c>
      <c r="B24" t="str">
        <f>"The overall net monthly safety net benefit series averages "&amp;TEXT(A24,"$0,000")&amp;" during fiscal year 2007, "</f>
        <v xml:space="preserve">The overall net monthly safety net benefit series averages $1,560 during fiscal year 2007, </v>
      </c>
    </row>
    <row r="25" spans="1:4">
      <c r="A25" s="7">
        <f>AvgMargWorker!$K$27-A24</f>
        <v>301.07683854579591</v>
      </c>
      <c r="B25" t="s">
        <v>487</v>
      </c>
    </row>
    <row r="26" spans="1:4">
      <c r="A26" s="7">
        <f>AVERAGE(AvgMargWorker!K86:K97)</f>
        <v>1745.0750244008152</v>
      </c>
      <c r="B26" t="str">
        <f>"The net benefit averaged "&amp;TEXT(A26,"$0,000")&amp;" during fiscal year 2011"</f>
        <v>The net benefit averaged $1,745 during fiscal year 2011</v>
      </c>
    </row>
    <row r="27" spans="1:4">
      <c r="A27" s="7">
        <f>AvgMargWorker!$B$8</f>
        <v>3884.7946666995026</v>
      </c>
      <c r="B27" t="str">
        <f>"Under the assumption that productivity is lost at the rate of "&amp;TEXT(A27,"$0,000")&amp;" per month"</f>
        <v>Under the assumption that productivity is lost at the rate of $3,885 per month</v>
      </c>
    </row>
    <row r="28" spans="1:4">
      <c r="A28" s="80">
        <f>1-AVERAGE(Quarterly!B12:B13)</f>
        <v>0.59692633337247836</v>
      </c>
      <c r="B28" t="str">
        <f>"Before the recession began … the self-reliance rate was about "&amp;TEXT(A28,"0%")</f>
        <v>Before the recession began … the self-reliance rate was about 60%</v>
      </c>
    </row>
    <row r="29" spans="1:4">
      <c r="A29" s="80">
        <f>AVERAGE(Quarterly!B20:B21)-1+A28</f>
        <v>8.0586784490726759E-2</v>
      </c>
      <c r="B29" t="str">
        <f>"but by the second half of 2009 it had fallen about "&amp;TEXT(A29*100,"0")&amp;" percentage points."</f>
        <v>but by the second half of 2009 it had fallen about 8 percentage points.</v>
      </c>
    </row>
    <row r="30" spans="1:4">
      <c r="A30">
        <f>1/UIElg!B20</f>
        <v>1.0472056609028555</v>
      </c>
      <c r="B30" t="str">
        <f>"I assume that the index jumps by a factor of "&amp;TEXT(A30,"0.000")&amp;" due to the alternative base period"</f>
        <v>I assume that the index jumps by a factor of 1.047 due to the alternative base period</v>
      </c>
    </row>
    <row r="31" spans="1:4">
      <c r="A31">
        <f>MedicaidElgBen!B6</f>
        <v>0.27400000000000002</v>
      </c>
      <c r="B31" t="str">
        <f>"Medicaid enrollment would increase by "&amp;TEXT(A31,"0.0%")&amp;" percent as a result of the relaxed eligibility criteria"</f>
        <v>Medicaid enrollment would increase by 27.4% percent as a result of the relaxed eligibility criteria</v>
      </c>
    </row>
    <row r="32" spans="1:4">
      <c r="B32" t="str">
        <f>"The monthly value of the COBRA subsidy is "&amp;TEXT(A7,"$0")&amp;" for someone who receives it (see the main text)"</f>
        <v>The monthly value of the COBRA subsidy is $706 for someone who receives it (see the main text)</v>
      </c>
    </row>
    <row r="33" spans="1:2">
      <c r="A33" s="18">
        <f>SNAPBen!B11</f>
        <v>316.13219448647874</v>
      </c>
      <c r="B33" t="str">
        <f>"I begin with the fiscal year 2010 average non-eldery family benefit amount of "&amp;TEXT(A33,"$0")&amp;" per month"</f>
        <v>I begin with the fiscal year 2010 average non-eldery family benefit amount of $316 per month</v>
      </c>
    </row>
    <row r="34" spans="1:2">
      <c r="A34" s="7">
        <f>MedicaidElgBen!$B$11</f>
        <v>357.99499046158445</v>
      </c>
      <c r="B34" t="str">
        <f>"The statutory Medicaid real benefit index is set at a constant "&amp;TEXT(A34,"$0")&amp;" per month ("&amp;TEXT(A34*12,"$0,000")&amp;" per year) as an estimate of what Medicaid spends per non-elderly non-disabled enrollee"</f>
        <v>The statutory Medicaid real benefit index is set at a constant $358 per month ($4,296 per year) as an estimate of what Medicaid spends per non-elderly non-disabled enrollee</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J81"/>
  <sheetViews>
    <sheetView workbookViewId="0"/>
  </sheetViews>
  <sheetFormatPr defaultColWidth="12" defaultRowHeight="15"/>
  <cols>
    <col min="1" max="1" width="12" style="21"/>
    <col min="2" max="2" width="12" style="19"/>
    <col min="3" max="3" width="12" style="21"/>
    <col min="4" max="4" width="12" style="19"/>
    <col min="5" max="5" width="12" style="21"/>
    <col min="6" max="6" width="12" style="19"/>
    <col min="7" max="7" width="12" style="21"/>
    <col min="8" max="8" width="12" style="19"/>
    <col min="9" max="9" width="12" style="21"/>
    <col min="10" max="10" width="12" style="19"/>
  </cols>
  <sheetData>
    <row r="1" spans="1:10">
      <c r="A1" s="21" t="s">
        <v>64</v>
      </c>
      <c r="C1" s="21" t="s">
        <v>65</v>
      </c>
      <c r="E1" s="21" t="s">
        <v>66</v>
      </c>
      <c r="G1" s="21" t="s">
        <v>67</v>
      </c>
      <c r="I1" s="21" t="s">
        <v>64</v>
      </c>
    </row>
    <row r="2" spans="1:10">
      <c r="A2" s="21" t="s">
        <v>68</v>
      </c>
      <c r="B2" s="19" t="s">
        <v>69</v>
      </c>
      <c r="C2" s="21" t="s">
        <v>68</v>
      </c>
      <c r="D2" s="19" t="s">
        <v>70</v>
      </c>
      <c r="E2" s="21" t="s">
        <v>68</v>
      </c>
      <c r="F2" s="19" t="s">
        <v>71</v>
      </c>
      <c r="G2" s="21" t="s">
        <v>68</v>
      </c>
      <c r="H2" s="19" t="s">
        <v>71</v>
      </c>
      <c r="I2" s="21" t="s">
        <v>68</v>
      </c>
      <c r="J2" s="19" t="s">
        <v>69</v>
      </c>
    </row>
    <row r="3" spans="1:10">
      <c r="A3" s="21" t="s">
        <v>72</v>
      </c>
      <c r="B3" s="19" t="s">
        <v>73</v>
      </c>
      <c r="C3" s="21" t="s">
        <v>74</v>
      </c>
      <c r="D3" s="19" t="s">
        <v>73</v>
      </c>
      <c r="E3" s="21" t="s">
        <v>74</v>
      </c>
      <c r="F3" s="19" t="s">
        <v>75</v>
      </c>
      <c r="G3" s="21" t="s">
        <v>74</v>
      </c>
      <c r="H3" s="19" t="s">
        <v>75</v>
      </c>
      <c r="I3" s="21" t="s">
        <v>74</v>
      </c>
      <c r="J3" s="19" t="s">
        <v>73</v>
      </c>
    </row>
    <row r="4" spans="1:10">
      <c r="A4" s="21">
        <f>DATE(2006,1,1)</f>
        <v>38718</v>
      </c>
      <c r="B4" s="19" t="s">
        <v>197</v>
      </c>
      <c r="C4" s="21">
        <f>DATE(2006,1,1)</f>
        <v>38718</v>
      </c>
      <c r="D4" s="19" t="s">
        <v>198</v>
      </c>
      <c r="E4" s="21">
        <f>DATE(2006,1,1)</f>
        <v>38718</v>
      </c>
      <c r="F4" s="19" t="s">
        <v>199</v>
      </c>
      <c r="G4" s="21">
        <f>DATE(2006,1,1)</f>
        <v>38718</v>
      </c>
      <c r="H4" s="19" t="s">
        <v>199</v>
      </c>
      <c r="I4" s="21">
        <f>DATE(2006,1,1)</f>
        <v>38718</v>
      </c>
      <c r="J4" s="19" t="s">
        <v>197</v>
      </c>
    </row>
    <row r="5" spans="1:10">
      <c r="A5" s="22" t="s">
        <v>76</v>
      </c>
      <c r="C5" s="22" t="s">
        <v>77</v>
      </c>
      <c r="E5" s="22" t="s">
        <v>78</v>
      </c>
      <c r="G5" s="22" t="s">
        <v>79</v>
      </c>
      <c r="I5" s="22" t="s">
        <v>76</v>
      </c>
    </row>
    <row r="6" spans="1:10">
      <c r="A6" s="21" t="s">
        <v>80</v>
      </c>
      <c r="C6" s="21" t="s">
        <v>81</v>
      </c>
      <c r="E6" s="21" t="s">
        <v>80</v>
      </c>
      <c r="G6" s="21" t="s">
        <v>80</v>
      </c>
      <c r="I6" s="21" t="s">
        <v>80</v>
      </c>
    </row>
    <row r="7" spans="1:10">
      <c r="A7" s="21" t="s">
        <v>82</v>
      </c>
      <c r="B7" s="19" t="s">
        <v>83</v>
      </c>
      <c r="C7" s="21" t="s">
        <v>82</v>
      </c>
      <c r="D7" s="19" t="s">
        <v>83</v>
      </c>
      <c r="E7" s="21" t="s">
        <v>82</v>
      </c>
      <c r="F7" s="19" t="s">
        <v>83</v>
      </c>
      <c r="G7" s="21" t="s">
        <v>82</v>
      </c>
      <c r="H7" s="19" t="s">
        <v>83</v>
      </c>
      <c r="I7" s="21" t="s">
        <v>82</v>
      </c>
      <c r="J7" s="19" t="s">
        <v>83</v>
      </c>
    </row>
    <row r="8" spans="1:10">
      <c r="A8" s="21">
        <v>38718</v>
      </c>
      <c r="B8" s="19">
        <v>101.71599999999999</v>
      </c>
      <c r="C8" s="21">
        <v>38718</v>
      </c>
      <c r="D8" s="19">
        <v>298930</v>
      </c>
      <c r="E8" s="21">
        <v>38718</v>
      </c>
      <c r="F8" s="19">
        <v>7477</v>
      </c>
      <c r="G8" s="21">
        <v>38718</v>
      </c>
      <c r="H8" s="19">
        <v>6070.1</v>
      </c>
      <c r="I8" s="21">
        <v>38718</v>
      </c>
      <c r="J8" s="19">
        <v>102.723</v>
      </c>
    </row>
    <row r="9" spans="1:10">
      <c r="A9" s="21">
        <v>38749</v>
      </c>
      <c r="B9" s="19">
        <v>101.756</v>
      </c>
      <c r="C9" s="21">
        <v>39083</v>
      </c>
      <c r="D9" s="19">
        <v>301903</v>
      </c>
      <c r="E9" s="21">
        <v>39083</v>
      </c>
      <c r="F9" s="19">
        <v>7855.9</v>
      </c>
      <c r="G9" s="21">
        <v>39083</v>
      </c>
      <c r="H9" s="19">
        <v>6415.5</v>
      </c>
      <c r="I9" s="21">
        <v>39083</v>
      </c>
      <c r="J9" s="19">
        <v>105.499</v>
      </c>
    </row>
    <row r="10" spans="1:10">
      <c r="A10" s="21">
        <v>38777</v>
      </c>
      <c r="B10" s="19">
        <v>101.90900000000001</v>
      </c>
      <c r="C10" s="21">
        <v>39448</v>
      </c>
      <c r="D10" s="19">
        <v>304718</v>
      </c>
      <c r="E10" s="21">
        <v>39448</v>
      </c>
      <c r="F10" s="19">
        <v>8068.3</v>
      </c>
      <c r="G10" s="21">
        <v>39448</v>
      </c>
      <c r="H10" s="19">
        <v>6545.9</v>
      </c>
      <c r="I10" s="21">
        <v>39448</v>
      </c>
      <c r="J10" s="19">
        <v>108.943</v>
      </c>
    </row>
    <row r="11" spans="1:10">
      <c r="A11" s="21">
        <v>38808</v>
      </c>
      <c r="B11" s="19">
        <v>102.31399999999999</v>
      </c>
      <c r="C11" s="21">
        <v>39814</v>
      </c>
      <c r="D11" s="19">
        <v>307374</v>
      </c>
      <c r="E11" s="21">
        <v>39814</v>
      </c>
      <c r="F11" s="19">
        <v>7806.4</v>
      </c>
      <c r="G11" s="21">
        <v>39814</v>
      </c>
      <c r="H11" s="19">
        <v>6275.4</v>
      </c>
      <c r="I11" s="21">
        <v>39814</v>
      </c>
      <c r="J11" s="19">
        <v>109.169</v>
      </c>
    </row>
    <row r="12" spans="1:10">
      <c r="A12" s="21">
        <v>38838</v>
      </c>
      <c r="B12" s="19">
        <v>102.569</v>
      </c>
      <c r="C12" s="21">
        <v>40179</v>
      </c>
      <c r="D12" s="19">
        <v>309732</v>
      </c>
      <c r="E12" s="21">
        <v>40179</v>
      </c>
      <c r="F12" s="19">
        <v>7971.4</v>
      </c>
      <c r="G12" s="21">
        <v>40179</v>
      </c>
      <c r="H12" s="19">
        <v>6408.2</v>
      </c>
      <c r="I12" s="21">
        <v>40179</v>
      </c>
      <c r="J12" s="19">
        <v>111.11199999999999</v>
      </c>
    </row>
    <row r="13" spans="1:10">
      <c r="A13" s="21">
        <v>38869</v>
      </c>
      <c r="B13" s="19">
        <v>102.761</v>
      </c>
      <c r="C13" s="21">
        <v>40544</v>
      </c>
      <c r="D13" s="19">
        <v>311946</v>
      </c>
      <c r="E13" s="21">
        <v>40544</v>
      </c>
      <c r="F13" s="19">
        <v>8292.7000000000007</v>
      </c>
      <c r="G13" s="21">
        <v>40544</v>
      </c>
      <c r="H13" s="19">
        <v>6683.3</v>
      </c>
      <c r="I13" s="21">
        <v>40544</v>
      </c>
      <c r="J13" s="19">
        <v>113.848</v>
      </c>
    </row>
    <row r="14" spans="1:10">
      <c r="A14" s="21">
        <v>38899</v>
      </c>
      <c r="B14" s="19">
        <v>103.09</v>
      </c>
      <c r="C14" s="21">
        <v>40909</v>
      </c>
      <c r="D14" s="19" t="e">
        <f>NA()</f>
        <v>#N/A</v>
      </c>
      <c r="I14" s="21">
        <v>40909</v>
      </c>
      <c r="J14" s="19" t="e">
        <f>NA()</f>
        <v>#N/A</v>
      </c>
    </row>
    <row r="15" spans="1:10">
      <c r="A15" s="21">
        <v>38930</v>
      </c>
      <c r="B15" s="19">
        <v>103.489</v>
      </c>
    </row>
    <row r="16" spans="1:10">
      <c r="A16" s="21">
        <v>38961</v>
      </c>
      <c r="B16" s="19">
        <v>103.279</v>
      </c>
    </row>
    <row r="17" spans="1:2">
      <c r="A17" s="21">
        <v>38991</v>
      </c>
      <c r="B17" s="19">
        <v>103.042</v>
      </c>
    </row>
    <row r="18" spans="1:2">
      <c r="A18" s="21">
        <v>39022</v>
      </c>
      <c r="B18" s="19">
        <v>103.173</v>
      </c>
    </row>
    <row r="19" spans="1:2">
      <c r="A19" s="21">
        <v>39052</v>
      </c>
      <c r="B19" s="19">
        <v>103.575</v>
      </c>
    </row>
    <row r="20" spans="1:2">
      <c r="A20" s="21">
        <v>39083</v>
      </c>
      <c r="B20" s="19">
        <v>103.881</v>
      </c>
    </row>
    <row r="21" spans="1:2">
      <c r="A21" s="21">
        <v>39114</v>
      </c>
      <c r="B21" s="19">
        <v>104.256</v>
      </c>
    </row>
    <row r="22" spans="1:2">
      <c r="A22" s="21">
        <v>39142</v>
      </c>
      <c r="B22" s="19">
        <v>104.663</v>
      </c>
    </row>
    <row r="23" spans="1:2">
      <c r="A23" s="21">
        <v>39173</v>
      </c>
      <c r="B23" s="19">
        <v>104.899</v>
      </c>
    </row>
    <row r="24" spans="1:2">
      <c r="A24" s="21">
        <v>39203</v>
      </c>
      <c r="B24" s="19">
        <v>105.20399999999999</v>
      </c>
    </row>
    <row r="25" spans="1:2">
      <c r="A25" s="21">
        <v>39234</v>
      </c>
      <c r="B25" s="19">
        <v>105.371</v>
      </c>
    </row>
    <row r="26" spans="1:2">
      <c r="A26" s="21">
        <v>39264</v>
      </c>
      <c r="B26" s="19">
        <v>105.551</v>
      </c>
    </row>
    <row r="27" spans="1:2">
      <c r="A27" s="21">
        <v>39295</v>
      </c>
      <c r="B27" s="19">
        <v>105.627</v>
      </c>
    </row>
    <row r="28" spans="1:2">
      <c r="A28" s="21">
        <v>39326</v>
      </c>
      <c r="B28" s="19">
        <v>106.038</v>
      </c>
    </row>
    <row r="29" spans="1:2">
      <c r="A29" s="21">
        <v>39356</v>
      </c>
      <c r="B29" s="19">
        <v>106.33499999999999</v>
      </c>
    </row>
    <row r="30" spans="1:2">
      <c r="A30" s="21">
        <v>39387</v>
      </c>
      <c r="B30" s="19">
        <v>106.916</v>
      </c>
    </row>
    <row r="31" spans="1:2">
      <c r="A31" s="21">
        <v>39417</v>
      </c>
      <c r="B31" s="19">
        <v>107.248</v>
      </c>
    </row>
    <row r="32" spans="1:2">
      <c r="A32" s="21">
        <v>39448</v>
      </c>
      <c r="B32" s="19">
        <v>107.566</v>
      </c>
    </row>
    <row r="33" spans="1:2">
      <c r="A33" s="21">
        <v>39479</v>
      </c>
      <c r="B33" s="19">
        <v>107.807</v>
      </c>
    </row>
    <row r="34" spans="1:2">
      <c r="A34" s="21">
        <v>39508</v>
      </c>
      <c r="B34" s="19">
        <v>108.184</v>
      </c>
    </row>
    <row r="35" spans="1:2">
      <c r="A35" s="21">
        <v>39539</v>
      </c>
      <c r="B35" s="19">
        <v>108.529</v>
      </c>
    </row>
    <row r="36" spans="1:2">
      <c r="A36" s="21">
        <v>39569</v>
      </c>
      <c r="B36" s="19">
        <v>108.977</v>
      </c>
    </row>
    <row r="37" spans="1:2">
      <c r="A37" s="21">
        <v>39600</v>
      </c>
      <c r="B37" s="19">
        <v>109.65</v>
      </c>
    </row>
    <row r="38" spans="1:2">
      <c r="A38" s="21">
        <v>39630</v>
      </c>
      <c r="B38" s="19">
        <v>110.235</v>
      </c>
    </row>
    <row r="39" spans="1:2">
      <c r="A39" s="21">
        <v>39661</v>
      </c>
      <c r="B39" s="19">
        <v>110.143</v>
      </c>
    </row>
    <row r="40" spans="1:2">
      <c r="A40" s="21">
        <v>39692</v>
      </c>
      <c r="B40" s="19">
        <v>110.27500000000001</v>
      </c>
    </row>
    <row r="41" spans="1:2">
      <c r="A41" s="21">
        <v>39722</v>
      </c>
      <c r="B41" s="19">
        <v>109.71</v>
      </c>
    </row>
    <row r="42" spans="1:2">
      <c r="A42" s="21">
        <v>39753</v>
      </c>
      <c r="B42" s="19">
        <v>108.395</v>
      </c>
    </row>
    <row r="43" spans="1:2">
      <c r="A43" s="21">
        <v>39783</v>
      </c>
      <c r="B43" s="19">
        <v>107.84699999999999</v>
      </c>
    </row>
    <row r="44" spans="1:2">
      <c r="A44" s="21">
        <v>39814</v>
      </c>
      <c r="B44" s="19">
        <v>108.014</v>
      </c>
    </row>
    <row r="45" spans="1:2">
      <c r="A45" s="21">
        <v>39845</v>
      </c>
      <c r="B45" s="19">
        <v>108.333</v>
      </c>
    </row>
    <row r="46" spans="1:2">
      <c r="A46" s="21">
        <v>39873</v>
      </c>
      <c r="B46" s="19">
        <v>108.235</v>
      </c>
    </row>
    <row r="47" spans="1:2">
      <c r="A47" s="21">
        <v>39904</v>
      </c>
      <c r="B47" s="19">
        <v>108.42</v>
      </c>
    </row>
    <row r="48" spans="1:2">
      <c r="A48" s="21">
        <v>39934</v>
      </c>
      <c r="B48" s="19">
        <v>108.557</v>
      </c>
    </row>
    <row r="49" spans="1:2">
      <c r="A49" s="21">
        <v>39965</v>
      </c>
      <c r="B49" s="19">
        <v>109.133</v>
      </c>
    </row>
    <row r="50" spans="1:2">
      <c r="A50" s="21">
        <v>39995</v>
      </c>
      <c r="B50" s="19">
        <v>109.229</v>
      </c>
    </row>
    <row r="51" spans="1:2">
      <c r="A51" s="21">
        <v>40026</v>
      </c>
      <c r="B51" s="19">
        <v>109.56</v>
      </c>
    </row>
    <row r="52" spans="1:2">
      <c r="A52" s="21">
        <v>40057</v>
      </c>
      <c r="B52" s="19">
        <v>109.75</v>
      </c>
    </row>
    <row r="53" spans="1:2">
      <c r="A53" s="21">
        <v>40087</v>
      </c>
      <c r="B53" s="19">
        <v>110.101</v>
      </c>
    </row>
    <row r="54" spans="1:2">
      <c r="A54" s="21">
        <v>40118</v>
      </c>
      <c r="B54" s="19">
        <v>110.316</v>
      </c>
    </row>
    <row r="55" spans="1:2">
      <c r="A55" s="21">
        <v>40148</v>
      </c>
      <c r="B55" s="19">
        <v>110.38</v>
      </c>
    </row>
    <row r="56" spans="1:2">
      <c r="A56" s="21">
        <v>40179</v>
      </c>
      <c r="B56" s="19">
        <v>110.654</v>
      </c>
    </row>
    <row r="57" spans="1:2">
      <c r="A57" s="21">
        <v>40210</v>
      </c>
      <c r="B57" s="19">
        <v>110.747</v>
      </c>
    </row>
    <row r="58" spans="1:2">
      <c r="A58" s="21">
        <v>40238</v>
      </c>
      <c r="B58" s="19">
        <v>110.92100000000001</v>
      </c>
    </row>
    <row r="59" spans="1:2">
      <c r="A59" s="21">
        <v>40269</v>
      </c>
      <c r="B59" s="19">
        <v>110.962</v>
      </c>
    </row>
    <row r="60" spans="1:2">
      <c r="A60" s="21">
        <v>40299</v>
      </c>
      <c r="B60" s="19">
        <v>110.90600000000001</v>
      </c>
    </row>
    <row r="61" spans="1:2">
      <c r="A61" s="21">
        <v>40330</v>
      </c>
      <c r="B61" s="19">
        <v>110.726</v>
      </c>
    </row>
    <row r="62" spans="1:2">
      <c r="A62" s="21">
        <v>40360</v>
      </c>
      <c r="B62" s="19">
        <v>110.974</v>
      </c>
    </row>
    <row r="63" spans="1:2">
      <c r="A63" s="21">
        <v>40391</v>
      </c>
      <c r="B63" s="19">
        <v>111.15300000000001</v>
      </c>
    </row>
    <row r="64" spans="1:2">
      <c r="A64" s="21">
        <v>40422</v>
      </c>
      <c r="B64" s="19">
        <v>111.28100000000001</v>
      </c>
    </row>
    <row r="65" spans="1:2">
      <c r="A65" s="21">
        <v>40452</v>
      </c>
      <c r="B65" s="19">
        <v>111.52200000000001</v>
      </c>
    </row>
    <row r="66" spans="1:2">
      <c r="A66" s="21">
        <v>40483</v>
      </c>
      <c r="B66" s="19">
        <v>111.60899999999999</v>
      </c>
    </row>
    <row r="67" spans="1:2">
      <c r="A67" s="21">
        <v>40513</v>
      </c>
      <c r="B67" s="19">
        <v>111.889</v>
      </c>
    </row>
    <row r="68" spans="1:2">
      <c r="A68" s="21">
        <v>40544</v>
      </c>
      <c r="B68" s="19">
        <v>112.29900000000001</v>
      </c>
    </row>
    <row r="69" spans="1:2">
      <c r="A69" s="21">
        <v>40575</v>
      </c>
      <c r="B69" s="19">
        <v>112.747</v>
      </c>
    </row>
    <row r="70" spans="1:2">
      <c r="A70" s="21">
        <v>40603</v>
      </c>
      <c r="B70" s="19">
        <v>113.194</v>
      </c>
    </row>
    <row r="71" spans="1:2">
      <c r="A71" s="21">
        <v>40634</v>
      </c>
      <c r="B71" s="19">
        <v>113.58</v>
      </c>
    </row>
    <row r="72" spans="1:2">
      <c r="A72" s="21">
        <v>40664</v>
      </c>
      <c r="B72" s="19">
        <v>113.78</v>
      </c>
    </row>
    <row r="73" spans="1:2">
      <c r="A73" s="21">
        <v>40695</v>
      </c>
      <c r="B73" s="19">
        <v>113.637</v>
      </c>
    </row>
    <row r="74" spans="1:2">
      <c r="A74" s="21">
        <v>40725</v>
      </c>
      <c r="B74" s="19">
        <v>114.054</v>
      </c>
    </row>
    <row r="75" spans="1:2">
      <c r="A75" s="21">
        <v>40756</v>
      </c>
      <c r="B75" s="19">
        <v>114.364</v>
      </c>
    </row>
    <row r="76" spans="1:2">
      <c r="A76" s="21">
        <v>40787</v>
      </c>
      <c r="B76" s="19">
        <v>114.554</v>
      </c>
    </row>
    <row r="77" spans="1:2">
      <c r="A77" s="21">
        <v>40817</v>
      </c>
      <c r="B77" s="19">
        <v>114.563</v>
      </c>
    </row>
    <row r="78" spans="1:2">
      <c r="A78" s="21">
        <v>40848</v>
      </c>
      <c r="B78" s="19">
        <v>114.664</v>
      </c>
    </row>
    <row r="79" spans="1:2">
      <c r="A79" s="21">
        <v>40878</v>
      </c>
      <c r="B79" s="19">
        <v>114.742</v>
      </c>
    </row>
    <row r="80" spans="1:2">
      <c r="A80" s="21">
        <v>40909</v>
      </c>
      <c r="B80" s="19">
        <v>115.001</v>
      </c>
    </row>
    <row r="81" spans="1:2">
      <c r="A81" s="21">
        <v>40940</v>
      </c>
      <c r="B81" s="19">
        <v>115.35899999999999</v>
      </c>
    </row>
  </sheetData>
  <hyperlinks>
    <hyperlink ref="A5" r:id="rId1"/>
    <hyperlink ref="C5" r:id="rId2"/>
    <hyperlink ref="E5" r:id="rId3"/>
    <hyperlink ref="G5" r:id="rId4"/>
    <hyperlink ref="I5"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42"/>
  <sheetViews>
    <sheetView showGridLines="0" workbookViewId="0"/>
  </sheetViews>
  <sheetFormatPr defaultRowHeight="15"/>
  <cols>
    <col min="1" max="1" width="12.7109375" customWidth="1"/>
    <col min="2" max="2" width="10" customWidth="1"/>
    <col min="3" max="3" width="2.140625" customWidth="1"/>
    <col min="4" max="4" width="21.7109375" customWidth="1"/>
    <col min="5" max="5" width="2.7109375" customWidth="1"/>
    <col min="6" max="6" width="13.7109375" customWidth="1"/>
    <col min="7" max="7" width="10.5703125" bestFit="1" customWidth="1"/>
    <col min="8" max="8" width="2.140625" customWidth="1"/>
    <col min="9" max="9" width="21.7109375" customWidth="1"/>
  </cols>
  <sheetData>
    <row r="1" spans="1:9" ht="18.75">
      <c r="A1" s="25" t="str">
        <f>A2&amp;" "&amp;B2&amp;".  Major Government Benefit Rule Changes Since 2007"</f>
        <v>Table 3.3.  Major Government Benefit Rule Changes Since 2007</v>
      </c>
      <c r="B1" s="45"/>
      <c r="C1" s="45"/>
      <c r="D1" s="45"/>
      <c r="E1" s="45"/>
      <c r="F1" s="45"/>
      <c r="G1" s="45"/>
      <c r="H1" s="45"/>
      <c r="I1" s="45"/>
    </row>
    <row r="2" spans="1:9" ht="16.5" hidden="1">
      <c r="A2" s="45" t="s">
        <v>85</v>
      </c>
      <c r="B2" s="46">
        <v>3.3</v>
      </c>
      <c r="C2" s="45" t="s">
        <v>211</v>
      </c>
      <c r="D2" s="45"/>
      <c r="E2" s="45"/>
      <c r="F2" s="45"/>
      <c r="G2" s="45"/>
      <c r="H2" s="45"/>
      <c r="I2" s="45"/>
    </row>
    <row r="3" spans="1:9" ht="16.5">
      <c r="A3" s="45"/>
      <c r="B3" s="45"/>
      <c r="C3" s="45"/>
      <c r="D3" s="45"/>
      <c r="E3" s="45"/>
      <c r="F3" s="45"/>
      <c r="G3" s="45"/>
      <c r="H3" s="45"/>
      <c r="I3" s="45"/>
    </row>
    <row r="4" spans="1:9" ht="16.5">
      <c r="A4" s="83" t="s">
        <v>212</v>
      </c>
      <c r="B4" s="83"/>
      <c r="C4" s="83"/>
      <c r="D4" s="83"/>
      <c r="E4" s="45"/>
      <c r="F4" s="83" t="s">
        <v>213</v>
      </c>
      <c r="G4" s="83"/>
      <c r="H4" s="83"/>
      <c r="I4" s="83"/>
    </row>
    <row r="5" spans="1:9" ht="16.5">
      <c r="A5" s="84" t="s">
        <v>214</v>
      </c>
      <c r="B5" s="84"/>
      <c r="C5" s="84"/>
      <c r="D5" s="84"/>
      <c r="E5" s="84"/>
      <c r="F5" s="84"/>
      <c r="G5" s="84"/>
      <c r="H5" s="84"/>
      <c r="I5" s="84"/>
    </row>
    <row r="6" spans="1:9" ht="16.5">
      <c r="A6" s="85" t="s">
        <v>215</v>
      </c>
      <c r="B6" s="85"/>
      <c r="C6" s="85"/>
      <c r="D6" s="85"/>
      <c r="E6" s="45"/>
      <c r="F6" s="86" t="s">
        <v>216</v>
      </c>
      <c r="G6" s="86"/>
      <c r="H6" s="86"/>
      <c r="I6" s="86"/>
    </row>
    <row r="7" spans="1:9" ht="16.5">
      <c r="A7" s="83" t="s">
        <v>217</v>
      </c>
      <c r="B7" s="83"/>
      <c r="C7" s="83"/>
      <c r="D7" s="83"/>
      <c r="E7" s="45"/>
      <c r="F7" s="83" t="s">
        <v>218</v>
      </c>
      <c r="G7" s="83"/>
      <c r="H7" s="83"/>
      <c r="I7" s="83"/>
    </row>
    <row r="8" spans="1:9" ht="16.5">
      <c r="A8" s="45"/>
      <c r="B8" s="47">
        <f>DATE(2008,7,1)</f>
        <v>39630</v>
      </c>
      <c r="C8" s="48" t="s">
        <v>219</v>
      </c>
      <c r="D8" s="49" t="s">
        <v>220</v>
      </c>
      <c r="E8" s="45"/>
      <c r="F8" s="45"/>
      <c r="G8" s="47">
        <f>DATE(2009,4,1)</f>
        <v>39904</v>
      </c>
      <c r="H8" s="48" t="s">
        <v>219</v>
      </c>
      <c r="I8" s="50">
        <f>UIBen!$E$21</f>
        <v>40178</v>
      </c>
    </row>
    <row r="9" spans="1:9" ht="9.9499999999999993" customHeight="1">
      <c r="A9" s="45"/>
      <c r="B9" s="51"/>
      <c r="C9" s="52"/>
      <c r="D9" s="45"/>
      <c r="E9" s="45"/>
      <c r="F9" s="45"/>
      <c r="G9" s="45"/>
      <c r="H9" s="45"/>
      <c r="I9" s="45"/>
    </row>
    <row r="10" spans="1:9" ht="16.5">
      <c r="A10" s="86" t="s">
        <v>221</v>
      </c>
      <c r="B10" s="86"/>
      <c r="C10" s="86"/>
      <c r="D10" s="86"/>
      <c r="E10" s="45"/>
      <c r="F10" s="86" t="s">
        <v>216</v>
      </c>
      <c r="G10" s="86"/>
      <c r="H10" s="86"/>
      <c r="I10" s="86"/>
    </row>
    <row r="11" spans="1:9" ht="16.5">
      <c r="A11" s="83" t="s">
        <v>217</v>
      </c>
      <c r="B11" s="83"/>
      <c r="C11" s="83"/>
      <c r="D11" s="83"/>
      <c r="E11" s="45"/>
      <c r="F11" s="83" t="s">
        <v>222</v>
      </c>
      <c r="G11" s="83"/>
      <c r="H11" s="83"/>
      <c r="I11" s="83"/>
    </row>
    <row r="12" spans="1:9" ht="16.5">
      <c r="A12" s="45"/>
      <c r="B12" s="47">
        <f>DATE(2008,7,1)</f>
        <v>39630</v>
      </c>
      <c r="C12" s="48" t="s">
        <v>219</v>
      </c>
      <c r="D12" s="49" t="s">
        <v>220</v>
      </c>
      <c r="E12" s="45"/>
      <c r="F12" s="45"/>
      <c r="G12" s="47">
        <f>DATE(2009,4,1)</f>
        <v>39904</v>
      </c>
      <c r="H12" s="48" t="s">
        <v>219</v>
      </c>
      <c r="I12" s="50">
        <f>UIBen!$F$21</f>
        <v>40329</v>
      </c>
    </row>
    <row r="13" spans="1:9" ht="9.9499999999999993" customHeight="1">
      <c r="A13" s="45"/>
      <c r="B13" s="45"/>
      <c r="C13" s="45"/>
      <c r="D13" s="45"/>
      <c r="E13" s="45"/>
      <c r="F13" s="45"/>
      <c r="G13" s="45"/>
      <c r="H13" s="45"/>
      <c r="I13" s="45"/>
    </row>
    <row r="14" spans="1:9" ht="16.5">
      <c r="A14" s="86" t="s">
        <v>223</v>
      </c>
      <c r="B14" s="86"/>
      <c r="C14" s="86"/>
      <c r="D14" s="86"/>
      <c r="E14" s="45"/>
      <c r="F14" s="86" t="s">
        <v>216</v>
      </c>
      <c r="G14" s="86"/>
      <c r="H14" s="86"/>
      <c r="I14" s="86"/>
    </row>
    <row r="15" spans="1:9" ht="16.5">
      <c r="A15" s="83" t="s">
        <v>224</v>
      </c>
      <c r="B15" s="83"/>
      <c r="C15" s="83"/>
      <c r="D15" s="83"/>
      <c r="E15" s="45"/>
      <c r="F15" s="83" t="s">
        <v>225</v>
      </c>
      <c r="G15" s="83"/>
      <c r="H15" s="83"/>
      <c r="I15" s="83"/>
    </row>
    <row r="16" spans="1:9" ht="16.5">
      <c r="A16" s="45"/>
      <c r="B16" s="47">
        <f>DATE(2008,12,1)</f>
        <v>39783</v>
      </c>
      <c r="C16" s="48" t="s">
        <v>219</v>
      </c>
      <c r="D16" s="50">
        <f>UIElg!$E$24</f>
        <v>41274</v>
      </c>
      <c r="E16" s="45"/>
      <c r="F16" s="45"/>
      <c r="G16" s="47">
        <f>DATE(2009,4,1)</f>
        <v>39904</v>
      </c>
      <c r="H16" s="48" t="s">
        <v>219</v>
      </c>
      <c r="I16" s="50">
        <f>UIBen!$C$21</f>
        <v>40331</v>
      </c>
    </row>
    <row r="17" spans="1:9" ht="9.9499999999999993" customHeight="1">
      <c r="A17" s="45"/>
      <c r="B17" s="51"/>
      <c r="C17" s="52"/>
      <c r="D17" s="45"/>
      <c r="E17" s="45"/>
      <c r="F17" s="45"/>
      <c r="G17" s="45"/>
      <c r="H17" s="45"/>
      <c r="I17" s="45"/>
    </row>
    <row r="18" spans="1:9" ht="16.5">
      <c r="A18" s="86" t="s">
        <v>216</v>
      </c>
      <c r="B18" s="86"/>
      <c r="C18" s="86"/>
      <c r="D18" s="86"/>
      <c r="E18" s="45"/>
      <c r="F18" s="86" t="s">
        <v>216</v>
      </c>
      <c r="G18" s="86"/>
      <c r="H18" s="86"/>
      <c r="I18" s="86"/>
    </row>
    <row r="19" spans="1:9" ht="16.5">
      <c r="A19" s="83" t="s">
        <v>226</v>
      </c>
      <c r="B19" s="83"/>
      <c r="C19" s="83"/>
      <c r="D19" s="83"/>
      <c r="E19" s="45"/>
      <c r="F19" s="45" t="s">
        <v>227</v>
      </c>
      <c r="G19" s="45"/>
      <c r="H19" s="45"/>
      <c r="I19" s="45"/>
    </row>
    <row r="20" spans="1:9" ht="16.5">
      <c r="A20" s="45"/>
      <c r="B20" s="47">
        <f>DATE(2009,4,1)</f>
        <v>39904</v>
      </c>
      <c r="C20" s="48" t="s">
        <v>219</v>
      </c>
      <c r="D20" s="49" t="s">
        <v>220</v>
      </c>
      <c r="E20" s="45"/>
      <c r="F20" s="45"/>
      <c r="G20" s="47">
        <f>DATE(2009,4,1)</f>
        <v>39904</v>
      </c>
      <c r="H20" s="48" t="s">
        <v>219</v>
      </c>
      <c r="I20" s="49" t="s">
        <v>220</v>
      </c>
    </row>
    <row r="21" spans="1:9" ht="9.9499999999999993" customHeight="1">
      <c r="A21" s="45"/>
      <c r="B21" s="51"/>
      <c r="C21" s="52"/>
      <c r="D21" s="45"/>
      <c r="E21" s="45"/>
      <c r="F21" s="45"/>
      <c r="G21" s="45"/>
      <c r="H21" s="45"/>
      <c r="I21" s="45"/>
    </row>
    <row r="22" spans="1:9" ht="37.5" customHeight="1">
      <c r="A22" s="87" t="s">
        <v>228</v>
      </c>
      <c r="B22" s="87"/>
      <c r="C22" s="87"/>
      <c r="D22" s="87"/>
      <c r="E22" s="45"/>
      <c r="F22" s="45"/>
      <c r="G22" s="45"/>
      <c r="H22" s="45"/>
      <c r="I22" s="45"/>
    </row>
    <row r="23" spans="1:9" ht="16.5">
      <c r="A23" s="83" t="s">
        <v>224</v>
      </c>
      <c r="B23" s="83"/>
      <c r="C23" s="83"/>
      <c r="D23" s="83"/>
      <c r="E23" s="45"/>
      <c r="F23" s="45"/>
      <c r="G23" s="45"/>
      <c r="H23" s="45"/>
      <c r="I23" s="45"/>
    </row>
    <row r="24" spans="1:9" ht="16.5">
      <c r="A24" s="45"/>
      <c r="B24" s="47">
        <f>DATE(2009,12,1)</f>
        <v>40148</v>
      </c>
      <c r="C24" s="48" t="s">
        <v>219</v>
      </c>
      <c r="D24" s="50">
        <f>UIElg!$G$24</f>
        <v>41060</v>
      </c>
      <c r="E24" s="45"/>
      <c r="F24" s="45"/>
      <c r="G24" s="45"/>
      <c r="H24" s="45"/>
      <c r="I24" s="45"/>
    </row>
    <row r="25" spans="1:9" ht="16.5">
      <c r="A25" s="45"/>
      <c r="B25" s="45"/>
      <c r="C25" s="45"/>
      <c r="D25" s="45"/>
      <c r="E25" s="45"/>
      <c r="F25" s="45"/>
      <c r="G25" s="45"/>
      <c r="H25" s="45"/>
      <c r="I25" s="45"/>
    </row>
    <row r="26" spans="1:9" ht="16.5">
      <c r="A26" s="84" t="s">
        <v>94</v>
      </c>
      <c r="B26" s="84"/>
      <c r="C26" s="84"/>
      <c r="D26" s="84"/>
      <c r="E26" s="84"/>
      <c r="F26" s="84"/>
      <c r="G26" s="84"/>
      <c r="H26" s="84"/>
      <c r="I26" s="84"/>
    </row>
    <row r="27" spans="1:9" ht="16.5">
      <c r="A27" s="86" t="s">
        <v>229</v>
      </c>
      <c r="B27" s="86"/>
      <c r="C27" s="86"/>
      <c r="D27" s="86"/>
      <c r="E27" s="45"/>
      <c r="F27" s="86" t="s">
        <v>230</v>
      </c>
      <c r="G27" s="86"/>
      <c r="H27" s="86"/>
      <c r="I27" s="86"/>
    </row>
    <row r="28" spans="1:9" ht="33" customHeight="1">
      <c r="A28" s="88" t="s">
        <v>231</v>
      </c>
      <c r="B28" s="88"/>
      <c r="C28" s="88"/>
      <c r="D28" s="88"/>
      <c r="E28" s="45"/>
      <c r="F28" s="88" t="s">
        <v>232</v>
      </c>
      <c r="G28" s="88"/>
      <c r="H28" s="88"/>
      <c r="I28" s="88"/>
    </row>
    <row r="29" spans="1:9" ht="16.5">
      <c r="A29" s="90" t="s">
        <v>233</v>
      </c>
      <c r="B29" s="90"/>
      <c r="C29" s="90"/>
      <c r="D29" s="90"/>
      <c r="E29" s="45"/>
      <c r="F29" s="45"/>
      <c r="G29" s="47">
        <f>DATE(2008,10,1)</f>
        <v>39722</v>
      </c>
      <c r="H29" s="48" t="s">
        <v>219</v>
      </c>
      <c r="I29" s="49" t="s">
        <v>220</v>
      </c>
    </row>
    <row r="30" spans="1:9" ht="9.9499999999999993" customHeight="1">
      <c r="A30" s="45"/>
      <c r="B30" s="45"/>
      <c r="C30" s="45"/>
      <c r="D30" s="45"/>
      <c r="E30" s="45"/>
      <c r="F30" s="45"/>
      <c r="G30" s="45"/>
      <c r="H30" s="45"/>
      <c r="I30" s="45"/>
    </row>
    <row r="31" spans="1:9" ht="16.5">
      <c r="A31" s="86" t="s">
        <v>230</v>
      </c>
      <c r="B31" s="86"/>
      <c r="C31" s="86"/>
      <c r="D31" s="86"/>
      <c r="E31" s="45"/>
      <c r="F31" s="86" t="s">
        <v>216</v>
      </c>
      <c r="G31" s="86"/>
      <c r="H31" s="86"/>
      <c r="I31" s="86"/>
    </row>
    <row r="32" spans="1:9" ht="16.5">
      <c r="A32" s="83" t="s">
        <v>496</v>
      </c>
      <c r="B32" s="83"/>
      <c r="C32" s="83"/>
      <c r="D32" s="83"/>
      <c r="E32" s="45"/>
      <c r="F32" s="88" t="s">
        <v>234</v>
      </c>
      <c r="G32" s="88"/>
      <c r="H32" s="88"/>
      <c r="I32" s="88"/>
    </row>
    <row r="33" spans="1:9" ht="16.5">
      <c r="A33" s="45"/>
      <c r="B33" s="47">
        <f>DATE(2008,10,1)</f>
        <v>39722</v>
      </c>
      <c r="C33" s="48" t="s">
        <v>219</v>
      </c>
      <c r="D33" s="49" t="s">
        <v>220</v>
      </c>
      <c r="E33" s="45"/>
      <c r="F33" s="45"/>
      <c r="G33" s="47">
        <f>DATE(2009,4,1)</f>
        <v>39904</v>
      </c>
      <c r="H33" s="48" t="s">
        <v>219</v>
      </c>
      <c r="I33" s="50">
        <f>DATE(2013,11,1)</f>
        <v>41579</v>
      </c>
    </row>
    <row r="34" spans="1:9" ht="9.9499999999999993" customHeight="1">
      <c r="A34" s="45"/>
      <c r="B34" s="47"/>
      <c r="C34" s="48"/>
      <c r="D34" s="50"/>
      <c r="E34" s="45"/>
      <c r="F34" s="45"/>
      <c r="G34" s="47"/>
      <c r="H34" s="48"/>
      <c r="I34" s="50"/>
    </row>
    <row r="35" spans="1:9" ht="16.5">
      <c r="A35" s="86" t="s">
        <v>216</v>
      </c>
      <c r="B35" s="86"/>
      <c r="C35" s="86"/>
      <c r="D35" s="86"/>
      <c r="E35" s="45"/>
      <c r="F35" s="45"/>
      <c r="G35" s="47"/>
      <c r="H35" s="48"/>
      <c r="I35" s="50"/>
    </row>
    <row r="36" spans="1:9" ht="16.5">
      <c r="A36" s="88" t="s">
        <v>235</v>
      </c>
      <c r="B36" s="88"/>
      <c r="C36" s="88"/>
      <c r="D36" s="88"/>
      <c r="E36" s="45"/>
      <c r="F36" s="45"/>
      <c r="G36" s="47"/>
      <c r="H36" s="48"/>
      <c r="I36" s="50"/>
    </row>
    <row r="37" spans="1:9" ht="16.5">
      <c r="A37" s="45"/>
      <c r="B37" s="47">
        <f>DATE(2009,4,1)</f>
        <v>39904</v>
      </c>
      <c r="C37" s="48" t="s">
        <v>219</v>
      </c>
      <c r="D37" s="50">
        <f>DATE(2010,10,1)</f>
        <v>40452</v>
      </c>
      <c r="E37" s="45"/>
      <c r="F37" s="45"/>
      <c r="G37" s="45"/>
      <c r="H37" s="45"/>
      <c r="I37" s="45"/>
    </row>
    <row r="38" spans="1:9" ht="16.5">
      <c r="A38" s="45"/>
      <c r="B38" s="47"/>
      <c r="C38" s="48"/>
      <c r="D38" s="50"/>
      <c r="E38" s="45"/>
      <c r="F38" s="45"/>
      <c r="G38" s="45"/>
      <c r="H38" s="45"/>
      <c r="I38" s="45"/>
    </row>
    <row r="39" spans="1:9" ht="16.5">
      <c r="A39" s="84" t="s">
        <v>95</v>
      </c>
      <c r="B39" s="84"/>
      <c r="C39" s="84"/>
      <c r="D39" s="84"/>
      <c r="E39" s="84"/>
      <c r="F39" s="84"/>
      <c r="G39" s="84"/>
      <c r="H39" s="84"/>
      <c r="I39" s="84"/>
    </row>
    <row r="40" spans="1:9" ht="37.5" customHeight="1">
      <c r="A40" s="89" t="s">
        <v>236</v>
      </c>
      <c r="B40" s="89"/>
      <c r="C40" s="89"/>
      <c r="D40" s="89"/>
      <c r="E40" s="45"/>
      <c r="F40" s="45"/>
      <c r="G40" s="45"/>
      <c r="H40" s="45"/>
      <c r="I40" s="45"/>
    </row>
    <row r="41" spans="1:9" ht="16.5">
      <c r="A41" s="88" t="s">
        <v>237</v>
      </c>
      <c r="B41" s="88"/>
      <c r="C41" s="88"/>
      <c r="D41" s="88"/>
      <c r="E41" s="45"/>
      <c r="F41" s="45"/>
      <c r="G41" s="45"/>
      <c r="H41" s="45"/>
      <c r="I41" s="45"/>
    </row>
    <row r="42" spans="1:9" ht="16.5">
      <c r="A42" s="45"/>
      <c r="B42" s="47">
        <f>DATE(2014,1,1)</f>
        <v>41640</v>
      </c>
      <c r="C42" s="48" t="s">
        <v>219</v>
      </c>
      <c r="D42" s="49" t="s">
        <v>220</v>
      </c>
      <c r="E42" s="45"/>
      <c r="F42" s="45"/>
      <c r="G42" s="45"/>
      <c r="H42" s="45"/>
      <c r="I42" s="45"/>
    </row>
  </sheetData>
  <mergeCells count="35">
    <mergeCell ref="A36:D36"/>
    <mergeCell ref="A39:I39"/>
    <mergeCell ref="A40:D40"/>
    <mergeCell ref="A41:D41"/>
    <mergeCell ref="A29:D29"/>
    <mergeCell ref="A31:D31"/>
    <mergeCell ref="F31:I31"/>
    <mergeCell ref="A32:D32"/>
    <mergeCell ref="F32:I32"/>
    <mergeCell ref="A35:D35"/>
    <mergeCell ref="A23:D23"/>
    <mergeCell ref="A26:I26"/>
    <mergeCell ref="A27:D27"/>
    <mergeCell ref="F27:I27"/>
    <mergeCell ref="A28:D28"/>
    <mergeCell ref="F28:I28"/>
    <mergeCell ref="A22:D22"/>
    <mergeCell ref="A10:D10"/>
    <mergeCell ref="F10:I10"/>
    <mergeCell ref="A11:D11"/>
    <mergeCell ref="F11:I11"/>
    <mergeCell ref="A14:D14"/>
    <mergeCell ref="F14:I14"/>
    <mergeCell ref="A15:D15"/>
    <mergeCell ref="F15:I15"/>
    <mergeCell ref="A18:D18"/>
    <mergeCell ref="F18:I18"/>
    <mergeCell ref="A19:D19"/>
    <mergeCell ref="A7:D7"/>
    <mergeCell ref="F7:I7"/>
    <mergeCell ref="A4:D4"/>
    <mergeCell ref="F4:I4"/>
    <mergeCell ref="A5:I5"/>
    <mergeCell ref="A6:D6"/>
    <mergeCell ref="F6:I6"/>
  </mergeCells>
  <pageMargins left="0.25" right="0.25"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dimension ref="A1:X36"/>
  <sheetViews>
    <sheetView workbookViewId="0"/>
  </sheetViews>
  <sheetFormatPr defaultRowHeight="15"/>
  <cols>
    <col min="2" max="2" width="11.140625" bestFit="1" customWidth="1"/>
    <col min="3" max="4" width="9.28515625" bestFit="1" customWidth="1"/>
    <col min="5" max="5" width="9.5703125" bestFit="1" customWidth="1"/>
    <col min="6" max="6" width="15.7109375" customWidth="1"/>
    <col min="8" max="8" width="11" bestFit="1" customWidth="1"/>
    <col min="12" max="12" width="15.7109375" customWidth="1"/>
    <col min="15" max="15" width="11" bestFit="1" customWidth="1"/>
    <col min="19" max="19" width="15.7109375" customWidth="1"/>
  </cols>
  <sheetData>
    <row r="1" spans="1:24">
      <c r="A1" s="33" t="s">
        <v>108</v>
      </c>
    </row>
    <row r="2" spans="1:24">
      <c r="A2" s="34" t="s">
        <v>109</v>
      </c>
    </row>
    <row r="4" spans="1:24">
      <c r="B4" s="91" t="s">
        <v>31</v>
      </c>
      <c r="C4" s="91"/>
      <c r="D4" s="91"/>
      <c r="E4" s="91"/>
      <c r="F4" s="91"/>
      <c r="G4" s="91"/>
      <c r="H4" s="91" t="s">
        <v>110</v>
      </c>
      <c r="I4" s="91"/>
      <c r="J4" s="91"/>
      <c r="K4" s="91"/>
      <c r="L4" s="91"/>
      <c r="M4" s="91"/>
      <c r="O4" s="91" t="s">
        <v>111</v>
      </c>
      <c r="P4" s="91"/>
      <c r="Q4" s="91"/>
      <c r="R4" s="91"/>
      <c r="S4" s="91"/>
      <c r="T4" s="91"/>
      <c r="V4" t="s">
        <v>112</v>
      </c>
    </row>
    <row r="5" spans="1:24" ht="30">
      <c r="B5" s="6" t="s">
        <v>113</v>
      </c>
      <c r="C5" s="6" t="s">
        <v>114</v>
      </c>
      <c r="D5" s="35" t="s">
        <v>115</v>
      </c>
      <c r="E5" s="6" t="s">
        <v>116</v>
      </c>
      <c r="F5" s="35" t="s">
        <v>117</v>
      </c>
      <c r="G5" s="6" t="s">
        <v>118</v>
      </c>
      <c r="H5" s="6" t="s">
        <v>113</v>
      </c>
      <c r="I5" s="6" t="s">
        <v>114</v>
      </c>
      <c r="J5" s="35" t="s">
        <v>115</v>
      </c>
      <c r="K5" s="6" t="s">
        <v>116</v>
      </c>
      <c r="L5" s="35" t="s">
        <v>117</v>
      </c>
      <c r="M5" s="6" t="s">
        <v>118</v>
      </c>
      <c r="N5" s="6" t="s">
        <v>119</v>
      </c>
      <c r="O5" s="6" t="s">
        <v>113</v>
      </c>
      <c r="P5" s="6" t="s">
        <v>114</v>
      </c>
      <c r="Q5" s="35" t="s">
        <v>115</v>
      </c>
      <c r="R5" s="6" t="s">
        <v>116</v>
      </c>
      <c r="S5" s="35" t="s">
        <v>117</v>
      </c>
      <c r="T5" s="6" t="s">
        <v>118</v>
      </c>
      <c r="V5" t="s">
        <v>120</v>
      </c>
      <c r="W5" t="s">
        <v>114</v>
      </c>
      <c r="X5" t="s">
        <v>121</v>
      </c>
    </row>
    <row r="6" spans="1:24">
      <c r="A6" s="5" t="s">
        <v>122</v>
      </c>
      <c r="B6" s="2"/>
      <c r="C6" s="2"/>
      <c r="D6" s="2"/>
      <c r="E6" s="2"/>
      <c r="F6" s="36"/>
      <c r="G6" s="2"/>
      <c r="H6" s="2"/>
      <c r="I6" s="2"/>
      <c r="J6" s="2"/>
      <c r="K6" s="2"/>
      <c r="L6" s="36"/>
      <c r="M6" s="2"/>
      <c r="N6" s="2"/>
      <c r="O6" s="2"/>
      <c r="P6" s="2"/>
      <c r="Q6" s="2"/>
      <c r="R6" s="2"/>
      <c r="S6" s="36"/>
      <c r="T6" s="2"/>
    </row>
    <row r="7" spans="1:24">
      <c r="A7">
        <v>2006</v>
      </c>
      <c r="B7" s="18">
        <v>3.7452860000000001</v>
      </c>
      <c r="C7" s="18">
        <v>29.581499999999998</v>
      </c>
      <c r="D7" s="18">
        <f>F7-B7-C7</f>
        <v>6.9840000000027658E-3</v>
      </c>
      <c r="E7" s="18">
        <v>109.6255</v>
      </c>
      <c r="F7" s="18">
        <v>33.333770000000001</v>
      </c>
      <c r="G7" s="18">
        <f>B7+C7+E7</f>
        <v>142.95228600000002</v>
      </c>
      <c r="H7" s="8">
        <f>B7/$G7</f>
        <v>2.6199553045272741E-2</v>
      </c>
      <c r="I7" s="8">
        <f t="shared" ref="I7:M11" si="0">C7/$G7</f>
        <v>0.20693268241964313</v>
      </c>
      <c r="J7" s="8">
        <f t="shared" si="0"/>
        <v>4.8855462164506873E-5</v>
      </c>
      <c r="K7" s="8">
        <f t="shared" si="0"/>
        <v>0.7668677645350841</v>
      </c>
      <c r="L7" s="8">
        <f t="shared" si="0"/>
        <v>0.23318109092708036</v>
      </c>
      <c r="M7" s="8">
        <f t="shared" si="0"/>
        <v>1</v>
      </c>
      <c r="N7" s="18">
        <v>299.39848499999999</v>
      </c>
      <c r="O7" s="8">
        <f>B7/$N7</f>
        <v>1.2509368576130237E-2</v>
      </c>
      <c r="P7" s="8">
        <f t="shared" ref="P7:T11" si="1">C7/$N7</f>
        <v>9.8803105166013108E-2</v>
      </c>
      <c r="Q7" s="8">
        <f t="shared" si="1"/>
        <v>2.3326771342890283E-5</v>
      </c>
      <c r="R7" s="8">
        <f t="shared" si="1"/>
        <v>0.36615248737815093</v>
      </c>
      <c r="S7" s="8">
        <f t="shared" si="1"/>
        <v>0.11133580051348624</v>
      </c>
      <c r="T7" s="8">
        <f t="shared" si="1"/>
        <v>0.4774649611202943</v>
      </c>
      <c r="V7" s="8">
        <f>B7/$F7</f>
        <v>0.1123571081218836</v>
      </c>
      <c r="W7" s="8">
        <f>C7/$F7</f>
        <v>0.88743337462279237</v>
      </c>
      <c r="X7" s="8">
        <f>D7/$F7</f>
        <v>2.0951725532403822E-4</v>
      </c>
    </row>
    <row r="8" spans="1:24">
      <c r="A8">
        <v>2007</v>
      </c>
      <c r="B8" s="18">
        <v>3.8396539999999999</v>
      </c>
      <c r="C8" s="18">
        <v>29.698219999999999</v>
      </c>
      <c r="D8" s="18">
        <f t="shared" ref="D8:D11" si="2">F8-B8-C8</f>
        <v>-1.4640000000021303E-3</v>
      </c>
      <c r="E8" s="18">
        <v>110.7961</v>
      </c>
      <c r="F8" s="18">
        <v>33.536409999999997</v>
      </c>
      <c r="G8" s="18">
        <f t="shared" ref="G8:G11" si="3">B8+C8+E8</f>
        <v>144.33397400000001</v>
      </c>
      <c r="H8" s="8">
        <f t="shared" ref="H8:H11" si="4">B8/$G8</f>
        <v>2.6602565519328106E-2</v>
      </c>
      <c r="I8" s="8">
        <f t="shared" si="0"/>
        <v>0.20576042616272727</v>
      </c>
      <c r="J8" s="8">
        <f t="shared" si="0"/>
        <v>-1.0143142043619821E-5</v>
      </c>
      <c r="K8" s="8">
        <f t="shared" si="0"/>
        <v>0.76763700831794446</v>
      </c>
      <c r="L8" s="8">
        <f t="shared" si="0"/>
        <v>0.23235284854001176</v>
      </c>
      <c r="M8" s="8">
        <f t="shared" si="0"/>
        <v>1</v>
      </c>
      <c r="N8" s="18">
        <v>301.62115899999998</v>
      </c>
      <c r="O8" s="8">
        <f t="shared" ref="O8:O11" si="5">B8/$N8</f>
        <v>1.2730055188203823E-2</v>
      </c>
      <c r="P8" s="8">
        <f t="shared" si="1"/>
        <v>9.846199152095958E-2</v>
      </c>
      <c r="Q8" s="8">
        <f t="shared" si="1"/>
        <v>-4.8537708854905974E-6</v>
      </c>
      <c r="R8" s="8">
        <f t="shared" si="1"/>
        <v>0.36733530355541139</v>
      </c>
      <c r="S8" s="8">
        <f t="shared" si="1"/>
        <v>0.11118719293827792</v>
      </c>
      <c r="T8" s="8">
        <f t="shared" si="1"/>
        <v>0.47852735026457482</v>
      </c>
      <c r="V8" s="8">
        <f t="shared" ref="V8:X11" si="6">B8/$F8</f>
        <v>0.11449209978050723</v>
      </c>
      <c r="W8" s="8">
        <f t="shared" si="6"/>
        <v>0.88555155426594567</v>
      </c>
      <c r="X8" s="8">
        <f t="shared" si="6"/>
        <v>-4.3654046452859157E-5</v>
      </c>
    </row>
    <row r="9" spans="1:24">
      <c r="A9">
        <v>2008</v>
      </c>
      <c r="B9" s="18">
        <v>4.8044859999999998</v>
      </c>
      <c r="C9" s="18">
        <v>29.52778</v>
      </c>
      <c r="D9" s="18">
        <f t="shared" si="2"/>
        <v>0.66417399999999915</v>
      </c>
      <c r="E9" s="18">
        <v>109.8964</v>
      </c>
      <c r="F9" s="18">
        <v>34.99644</v>
      </c>
      <c r="G9" s="18">
        <f t="shared" si="3"/>
        <v>144.228666</v>
      </c>
      <c r="H9" s="8">
        <f t="shared" si="4"/>
        <v>3.3311588696244336E-2</v>
      </c>
      <c r="I9" s="8">
        <f t="shared" si="0"/>
        <v>0.20472892677243509</v>
      </c>
      <c r="J9" s="8">
        <f t="shared" si="0"/>
        <v>4.6050068853857326E-3</v>
      </c>
      <c r="K9" s="8">
        <f t="shared" si="0"/>
        <v>0.76195948453132056</v>
      </c>
      <c r="L9" s="8">
        <f t="shared" si="0"/>
        <v>0.24264552235406517</v>
      </c>
      <c r="M9" s="8">
        <f t="shared" si="0"/>
        <v>1</v>
      </c>
      <c r="N9" s="18">
        <v>304.05972800000001</v>
      </c>
      <c r="O9" s="8">
        <f t="shared" si="5"/>
        <v>1.5801125757765593E-2</v>
      </c>
      <c r="P9" s="8">
        <f t="shared" si="1"/>
        <v>9.7111775354873697E-2</v>
      </c>
      <c r="Q9" s="8">
        <f t="shared" si="1"/>
        <v>2.184353726712533E-3</v>
      </c>
      <c r="R9" s="8">
        <f t="shared" si="1"/>
        <v>0.36143030424601313</v>
      </c>
      <c r="S9" s="8">
        <f t="shared" si="1"/>
        <v>0.11509725483935182</v>
      </c>
      <c r="T9" s="8">
        <f t="shared" si="1"/>
        <v>0.47434320535865243</v>
      </c>
      <c r="V9" s="8">
        <f t="shared" si="6"/>
        <v>0.13728499241637149</v>
      </c>
      <c r="W9" s="8">
        <f t="shared" si="6"/>
        <v>0.84373667721631118</v>
      </c>
      <c r="X9" s="8">
        <f t="shared" si="6"/>
        <v>1.8978330367317338E-2</v>
      </c>
    </row>
    <row r="10" spans="1:24">
      <c r="A10">
        <v>2009</v>
      </c>
      <c r="B10" s="18">
        <v>8.3464860000000005</v>
      </c>
      <c r="C10" s="18">
        <v>29.902190000000001</v>
      </c>
      <c r="D10" s="18">
        <f t="shared" si="2"/>
        <v>3.1961139999999979</v>
      </c>
      <c r="E10" s="18">
        <v>105.6159</v>
      </c>
      <c r="F10" s="18">
        <v>41.444789999999998</v>
      </c>
      <c r="G10" s="18">
        <f t="shared" si="3"/>
        <v>143.864576</v>
      </c>
      <c r="H10" s="8">
        <f t="shared" si="4"/>
        <v>5.8016269411588856E-2</v>
      </c>
      <c r="I10" s="8">
        <f t="shared" si="0"/>
        <v>0.20784956819391037</v>
      </c>
      <c r="J10" s="8">
        <f t="shared" si="0"/>
        <v>2.2216129146343837E-2</v>
      </c>
      <c r="K10" s="8">
        <f t="shared" si="0"/>
        <v>0.7341341623945008</v>
      </c>
      <c r="L10" s="8">
        <f t="shared" si="0"/>
        <v>0.28808196675184305</v>
      </c>
      <c r="M10" s="8">
        <f t="shared" si="0"/>
        <v>1</v>
      </c>
      <c r="N10" s="18">
        <v>307.00655599999999</v>
      </c>
      <c r="O10" s="8">
        <f t="shared" si="5"/>
        <v>2.7186670241660899E-2</v>
      </c>
      <c r="P10" s="8">
        <f t="shared" si="1"/>
        <v>9.7399190393836418E-2</v>
      </c>
      <c r="Q10" s="8">
        <f t="shared" si="1"/>
        <v>1.0410572469989852E-2</v>
      </c>
      <c r="R10" s="8">
        <f t="shared" si="1"/>
        <v>0.34401838636957316</v>
      </c>
      <c r="S10" s="8">
        <f t="shared" si="1"/>
        <v>0.13499643310548717</v>
      </c>
      <c r="T10" s="8">
        <f t="shared" si="1"/>
        <v>0.46860424700507047</v>
      </c>
      <c r="V10" s="8">
        <f t="shared" si="6"/>
        <v>0.20138806349362612</v>
      </c>
      <c r="W10" s="8">
        <f t="shared" si="6"/>
        <v>0.72149454732428375</v>
      </c>
      <c r="X10" s="8">
        <f t="shared" si="6"/>
        <v>7.7117389182090157E-2</v>
      </c>
    </row>
    <row r="11" spans="1:24">
      <c r="A11">
        <v>2010</v>
      </c>
      <c r="B11" s="18">
        <v>8.4529560000000004</v>
      </c>
      <c r="C11" s="18">
        <v>30.29477</v>
      </c>
      <c r="D11" s="18">
        <f t="shared" si="2"/>
        <v>2.5501640000000023</v>
      </c>
      <c r="E11" s="18">
        <v>104.1224</v>
      </c>
      <c r="F11" s="18">
        <v>41.297890000000002</v>
      </c>
      <c r="G11" s="18">
        <f t="shared" si="3"/>
        <v>142.870126</v>
      </c>
      <c r="H11" s="8">
        <f t="shared" si="4"/>
        <v>5.9165314937847824E-2</v>
      </c>
      <c r="I11" s="8">
        <f t="shared" si="0"/>
        <v>0.21204411900637646</v>
      </c>
      <c r="J11" s="8">
        <f t="shared" si="0"/>
        <v>1.7849525799396315E-2</v>
      </c>
      <c r="K11" s="8">
        <f t="shared" si="0"/>
        <v>0.72879056605577575</v>
      </c>
      <c r="L11" s="8">
        <f t="shared" si="0"/>
        <v>0.28905895974362061</v>
      </c>
      <c r="M11" s="8">
        <f t="shared" si="0"/>
        <v>1</v>
      </c>
      <c r="N11" s="18">
        <v>308.74553800000001</v>
      </c>
      <c r="O11" s="8">
        <f t="shared" si="5"/>
        <v>2.737839080932726E-2</v>
      </c>
      <c r="P11" s="8">
        <f t="shared" si="1"/>
        <v>9.812213059415939E-2</v>
      </c>
      <c r="Q11" s="8">
        <f t="shared" si="1"/>
        <v>8.2597598544080081E-3</v>
      </c>
      <c r="R11" s="8">
        <f t="shared" si="1"/>
        <v>0.33724341629189797</v>
      </c>
      <c r="S11" s="8">
        <f t="shared" si="1"/>
        <v>0.13376028125789466</v>
      </c>
      <c r="T11" s="8">
        <f t="shared" si="1"/>
        <v>0.46274393769538458</v>
      </c>
      <c r="V11" s="8">
        <f t="shared" si="6"/>
        <v>0.20468251525683273</v>
      </c>
      <c r="W11" s="8">
        <f t="shared" si="6"/>
        <v>0.73356701758854992</v>
      </c>
      <c r="X11" s="8">
        <f t="shared" si="6"/>
        <v>6.1750467154617392E-2</v>
      </c>
    </row>
    <row r="12" spans="1:24">
      <c r="A12" s="2" t="s">
        <v>123</v>
      </c>
    </row>
    <row r="13" spans="1:24">
      <c r="A13">
        <v>2006</v>
      </c>
      <c r="B13">
        <v>3.7861159999999998</v>
      </c>
      <c r="C13">
        <v>29.49156</v>
      </c>
      <c r="D13" s="18">
        <f t="shared" ref="D13:D29" si="7">F13-B13-C13</f>
        <v>3.4433999999997411E-2</v>
      </c>
      <c r="E13" s="18">
        <v>109.29770000000001</v>
      </c>
      <c r="F13" s="18">
        <v>33.312109999999997</v>
      </c>
      <c r="G13" s="18">
        <f t="shared" ref="G13:G17" si="8">B13+C13+E13</f>
        <v>142.57537600000001</v>
      </c>
      <c r="H13" s="8">
        <f t="shared" ref="H13:M17" si="9">B13/$G13</f>
        <v>2.6555188604236959E-2</v>
      </c>
      <c r="I13" s="8">
        <f t="shared" si="9"/>
        <v>0.20684890215544652</v>
      </c>
      <c r="J13" s="8">
        <f t="shared" si="9"/>
        <v>2.4151435518569075E-4</v>
      </c>
      <c r="K13" s="8">
        <f t="shared" si="9"/>
        <v>0.76659590924031651</v>
      </c>
      <c r="L13" s="8">
        <f t="shared" si="9"/>
        <v>0.23364560511486918</v>
      </c>
      <c r="M13" s="8">
        <f t="shared" si="9"/>
        <v>1</v>
      </c>
      <c r="N13" s="18"/>
      <c r="O13" s="8">
        <f>B13/$N7</f>
        <v>1.26457420116872E-2</v>
      </c>
      <c r="P13" s="8">
        <f t="shared" ref="P13:T17" si="10">C13/$N7</f>
        <v>9.8502702844338041E-2</v>
      </c>
      <c r="Q13" s="8">
        <f t="shared" si="10"/>
        <v>1.1501060200754661E-4</v>
      </c>
      <c r="R13" s="8">
        <f t="shared" si="10"/>
        <v>0.36505762545859244</v>
      </c>
      <c r="S13" s="8">
        <f t="shared" si="10"/>
        <v>0.11126345545803279</v>
      </c>
      <c r="T13" s="8">
        <f t="shared" si="10"/>
        <v>0.4762060703146177</v>
      </c>
      <c r="V13" s="8">
        <f t="shared" ref="V13:X17" si="11">B13/$F13</f>
        <v>0.11365584467630541</v>
      </c>
      <c r="W13" s="8">
        <f t="shared" si="11"/>
        <v>0.88531047718082112</v>
      </c>
      <c r="X13" s="8">
        <f t="shared" si="11"/>
        <v>1.0336781428734901E-3</v>
      </c>
    </row>
    <row r="14" spans="1:24">
      <c r="A14">
        <v>2007</v>
      </c>
      <c r="B14">
        <v>3.785304</v>
      </c>
      <c r="C14">
        <v>29.669799999999999</v>
      </c>
      <c r="D14" s="18">
        <f t="shared" si="7"/>
        <v>1.3156000000002166E-2</v>
      </c>
      <c r="E14" s="18">
        <v>110.5831</v>
      </c>
      <c r="F14" s="18">
        <v>33.468260000000001</v>
      </c>
      <c r="G14" s="18">
        <f t="shared" si="8"/>
        <v>144.03820400000001</v>
      </c>
      <c r="H14" s="8">
        <f t="shared" si="9"/>
        <v>2.6279861140173614E-2</v>
      </c>
      <c r="I14" s="8">
        <f t="shared" si="9"/>
        <v>0.20598562864613335</v>
      </c>
      <c r="J14" s="8">
        <f t="shared" si="9"/>
        <v>9.1336878929718985E-5</v>
      </c>
      <c r="K14" s="8">
        <f t="shared" si="9"/>
        <v>0.76773451021369299</v>
      </c>
      <c r="L14" s="8">
        <f t="shared" si="9"/>
        <v>0.23235682666523666</v>
      </c>
      <c r="M14" s="8">
        <f t="shared" si="9"/>
        <v>1</v>
      </c>
      <c r="N14" s="18"/>
      <c r="O14" s="8">
        <f t="shared" ref="O14:O17" si="12">B14/$N8</f>
        <v>1.2549862259497519E-2</v>
      </c>
      <c r="P14" s="8">
        <f t="shared" si="10"/>
        <v>9.8367767362103398E-2</v>
      </c>
      <c r="Q14" s="8">
        <f t="shared" si="10"/>
        <v>4.3617629623928894E-5</v>
      </c>
      <c r="R14" s="8">
        <f t="shared" si="10"/>
        <v>0.36662911967658079</v>
      </c>
      <c r="S14" s="8">
        <f t="shared" si="10"/>
        <v>0.11096124725122485</v>
      </c>
      <c r="T14" s="8">
        <f t="shared" si="10"/>
        <v>0.47754674929818175</v>
      </c>
      <c r="V14" s="8">
        <f t="shared" si="11"/>
        <v>0.11310130852335915</v>
      </c>
      <c r="W14" s="8">
        <f t="shared" si="11"/>
        <v>0.88650560262170774</v>
      </c>
      <c r="X14" s="8">
        <f t="shared" si="11"/>
        <v>3.9308885493306693E-4</v>
      </c>
    </row>
    <row r="15" spans="1:24">
      <c r="A15">
        <v>2008</v>
      </c>
      <c r="B15">
        <v>4.3308369999999998</v>
      </c>
      <c r="C15">
        <v>29.573180000000001</v>
      </c>
      <c r="D15" s="18">
        <f t="shared" si="7"/>
        <v>0.27554300000000254</v>
      </c>
      <c r="E15" s="18">
        <v>110.45740000000001</v>
      </c>
      <c r="F15" s="18">
        <v>34.179560000000002</v>
      </c>
      <c r="G15" s="18">
        <f t="shared" si="8"/>
        <v>144.36141700000002</v>
      </c>
      <c r="H15" s="8">
        <f t="shared" si="9"/>
        <v>2.9999961831906924E-2</v>
      </c>
      <c r="I15" s="8">
        <f t="shared" si="9"/>
        <v>0.2048551518443463</v>
      </c>
      <c r="J15" s="8">
        <f t="shared" si="9"/>
        <v>1.9087025170998599E-3</v>
      </c>
      <c r="K15" s="8">
        <f t="shared" si="9"/>
        <v>0.76514488632374666</v>
      </c>
      <c r="L15" s="8">
        <f t="shared" si="9"/>
        <v>0.2367638161933531</v>
      </c>
      <c r="M15" s="8">
        <f t="shared" si="9"/>
        <v>1</v>
      </c>
      <c r="N15" s="18"/>
      <c r="O15" s="8">
        <f t="shared" si="12"/>
        <v>1.4243375893567858E-2</v>
      </c>
      <c r="P15" s="8">
        <f t="shared" si="10"/>
        <v>9.7261088124106984E-2</v>
      </c>
      <c r="Q15" s="8">
        <f t="shared" si="10"/>
        <v>9.062134002829948E-4</v>
      </c>
      <c r="R15" s="8">
        <f t="shared" si="10"/>
        <v>0.36327533648257426</v>
      </c>
      <c r="S15" s="8">
        <f t="shared" si="10"/>
        <v>0.11241067741795784</v>
      </c>
      <c r="T15" s="8">
        <f t="shared" si="10"/>
        <v>0.47477980050024915</v>
      </c>
      <c r="V15" s="8">
        <f t="shared" si="11"/>
        <v>0.12670838945849505</v>
      </c>
      <c r="W15" s="8">
        <f t="shared" si="11"/>
        <v>0.86522997955503222</v>
      </c>
      <c r="X15" s="8">
        <f t="shared" si="11"/>
        <v>8.0616309864726902E-3</v>
      </c>
    </row>
    <row r="16" spans="1:24">
      <c r="A16">
        <v>2009</v>
      </c>
      <c r="B16">
        <v>7.6097000000000001</v>
      </c>
      <c r="C16">
        <v>29.601780000000002</v>
      </c>
      <c r="D16" s="18">
        <f t="shared" si="7"/>
        <v>2.8296000000000028</v>
      </c>
      <c r="E16" s="18">
        <v>106.81140000000001</v>
      </c>
      <c r="F16" s="18">
        <v>40.041080000000001</v>
      </c>
      <c r="G16" s="18">
        <f t="shared" si="8"/>
        <v>144.02288000000001</v>
      </c>
      <c r="H16" s="8">
        <f t="shared" si="9"/>
        <v>5.283674371738712E-2</v>
      </c>
      <c r="I16" s="8">
        <f t="shared" si="9"/>
        <v>0.20553525939767348</v>
      </c>
      <c r="J16" s="8">
        <f t="shared" si="9"/>
        <v>1.9646878329332134E-2</v>
      </c>
      <c r="K16" s="8">
        <f t="shared" si="9"/>
        <v>0.74162799688493941</v>
      </c>
      <c r="L16" s="8">
        <f t="shared" si="9"/>
        <v>0.27801888144439268</v>
      </c>
      <c r="M16" s="8">
        <f t="shared" si="9"/>
        <v>1</v>
      </c>
      <c r="N16" s="18"/>
      <c r="O16" s="8">
        <f t="shared" si="12"/>
        <v>2.4786767094315734E-2</v>
      </c>
      <c r="P16" s="8">
        <f t="shared" si="10"/>
        <v>9.6420677088081483E-2</v>
      </c>
      <c r="Q16" s="8">
        <f t="shared" si="10"/>
        <v>9.2167412867886871E-3</v>
      </c>
      <c r="R16" s="8">
        <f t="shared" si="10"/>
        <v>0.3479124400196848</v>
      </c>
      <c r="S16" s="8">
        <f t="shared" si="10"/>
        <v>0.13042418546918588</v>
      </c>
      <c r="T16" s="8">
        <f t="shared" si="10"/>
        <v>0.46911988420208206</v>
      </c>
      <c r="V16" s="8">
        <f t="shared" si="11"/>
        <v>0.19004732140092126</v>
      </c>
      <c r="W16" s="8">
        <f t="shared" si="11"/>
        <v>0.73928525404409673</v>
      </c>
      <c r="X16" s="8">
        <f t="shared" si="11"/>
        <v>7.0667424554982095E-2</v>
      </c>
    </row>
    <row r="17" spans="1:24">
      <c r="A17">
        <v>2010</v>
      </c>
      <c r="B17">
        <v>8.5850580000000001</v>
      </c>
      <c r="C17">
        <v>30.158560000000001</v>
      </c>
      <c r="D17" s="18">
        <f t="shared" si="7"/>
        <v>2.5979919999999979</v>
      </c>
      <c r="E17" s="18">
        <v>104.0872</v>
      </c>
      <c r="F17" s="18">
        <v>41.341610000000003</v>
      </c>
      <c r="G17" s="18">
        <f t="shared" si="8"/>
        <v>142.83081799999999</v>
      </c>
      <c r="H17" s="8">
        <f t="shared" si="9"/>
        <v>6.0106482061875473E-2</v>
      </c>
      <c r="I17" s="8">
        <f t="shared" si="9"/>
        <v>0.21114882923935926</v>
      </c>
      <c r="J17" s="8">
        <f t="shared" si="9"/>
        <v>1.8189295814296871E-2</v>
      </c>
      <c r="K17" s="8">
        <f t="shared" si="9"/>
        <v>0.7287446886987653</v>
      </c>
      <c r="L17" s="8">
        <f t="shared" si="9"/>
        <v>0.28944460711553166</v>
      </c>
      <c r="M17" s="8">
        <f t="shared" si="9"/>
        <v>1</v>
      </c>
      <c r="N17" s="18"/>
      <c r="O17" s="8">
        <f t="shared" si="12"/>
        <v>2.7806257721528595E-2</v>
      </c>
      <c r="P17" s="8">
        <f t="shared" si="10"/>
        <v>9.7680958226512085E-2</v>
      </c>
      <c r="Q17" s="8">
        <f t="shared" si="10"/>
        <v>8.4146705951747159E-3</v>
      </c>
      <c r="R17" s="8">
        <f t="shared" si="10"/>
        <v>0.3371294065470834</v>
      </c>
      <c r="S17" s="8">
        <f t="shared" si="10"/>
        <v>0.13390188654321541</v>
      </c>
      <c r="T17" s="8">
        <f t="shared" si="10"/>
        <v>0.46261662249512409</v>
      </c>
      <c r="V17" s="8">
        <f t="shared" si="11"/>
        <v>0.20766143360164249</v>
      </c>
      <c r="W17" s="8">
        <f t="shared" si="11"/>
        <v>0.7294965048531008</v>
      </c>
      <c r="X17" s="8">
        <f t="shared" si="11"/>
        <v>6.284206154525665E-2</v>
      </c>
    </row>
    <row r="18" spans="1:24">
      <c r="A18" s="5" t="s">
        <v>124</v>
      </c>
      <c r="D18" s="18"/>
      <c r="E18" s="18"/>
      <c r="F18" s="18"/>
      <c r="V18" s="8">
        <f>AVERAGE(V14,V17)</f>
        <v>0.16038137106250083</v>
      </c>
      <c r="W18" s="8">
        <f>AVERAGE(W14,W17)</f>
        <v>0.80800105373740427</v>
      </c>
      <c r="X18" s="8">
        <f>AVERAGE(X14,X17)</f>
        <v>3.1617575200094859E-2</v>
      </c>
    </row>
    <row r="19" spans="1:24">
      <c r="A19">
        <v>2006</v>
      </c>
      <c r="B19">
        <v>2.8191999999999999</v>
      </c>
      <c r="C19">
        <v>18.34487</v>
      </c>
      <c r="D19" s="18">
        <f t="shared" si="7"/>
        <v>-9.637999999999991E-2</v>
      </c>
      <c r="E19" s="18">
        <v>72.289670000000001</v>
      </c>
      <c r="F19" s="18">
        <v>21.067689999999999</v>
      </c>
      <c r="G19" s="18">
        <f t="shared" ref="G19:G23" si="13">B19+C19+E19</f>
        <v>93.453739999999996</v>
      </c>
      <c r="H19" s="8">
        <f t="shared" ref="H19:M23" si="14">B19/$G19</f>
        <v>3.0166796962860985E-2</v>
      </c>
      <c r="I19" s="8">
        <f t="shared" si="14"/>
        <v>0.19629893891887046</v>
      </c>
      <c r="J19" s="8">
        <f t="shared" si="14"/>
        <v>-1.0313123904939483E-3</v>
      </c>
      <c r="K19" s="8">
        <f t="shared" si="14"/>
        <v>0.77353426411826864</v>
      </c>
      <c r="L19" s="8">
        <f t="shared" si="14"/>
        <v>0.22543442349123749</v>
      </c>
      <c r="M19" s="8">
        <f t="shared" si="14"/>
        <v>1</v>
      </c>
      <c r="N19" s="18">
        <f>N7</f>
        <v>299.39848499999999</v>
      </c>
      <c r="O19" s="8">
        <f>B19/$N19</f>
        <v>9.4162133118342265E-3</v>
      </c>
      <c r="P19" s="8">
        <f t="shared" ref="P19:T23" si="15">C19/$N19</f>
        <v>6.1272420934260906E-2</v>
      </c>
      <c r="Q19" s="8">
        <f t="shared" si="15"/>
        <v>-3.2191211655596691E-4</v>
      </c>
      <c r="R19" s="8">
        <f t="shared" si="15"/>
        <v>0.24144968535829434</v>
      </c>
      <c r="S19" s="8">
        <f t="shared" si="15"/>
        <v>7.0366722129539164E-2</v>
      </c>
      <c r="T19" s="8">
        <f t="shared" si="15"/>
        <v>0.31213831960438942</v>
      </c>
      <c r="V19" s="8"/>
      <c r="W19" s="8"/>
      <c r="X19" s="8"/>
    </row>
    <row r="20" spans="1:24">
      <c r="A20">
        <v>2007</v>
      </c>
      <c r="B20">
        <v>2.8316669999999999</v>
      </c>
      <c r="C20">
        <v>18.42754</v>
      </c>
      <c r="D20" s="18">
        <f t="shared" si="7"/>
        <v>-1.8069999999994479E-3</v>
      </c>
      <c r="E20" s="18">
        <v>73.264970000000005</v>
      </c>
      <c r="F20" s="18">
        <v>21.257400000000001</v>
      </c>
      <c r="G20" s="18">
        <f t="shared" si="13"/>
        <v>94.524177000000009</v>
      </c>
      <c r="H20" s="8">
        <f t="shared" si="14"/>
        <v>2.9957065904948316E-2</v>
      </c>
      <c r="I20" s="8">
        <f t="shared" si="14"/>
        <v>0.19495054688495198</v>
      </c>
      <c r="J20" s="8">
        <f t="shared" si="14"/>
        <v>-1.9116802254723124E-5</v>
      </c>
      <c r="K20" s="8">
        <f t="shared" si="14"/>
        <v>0.77509238721009965</v>
      </c>
      <c r="L20" s="8">
        <f t="shared" si="14"/>
        <v>0.22488849598764557</v>
      </c>
      <c r="M20" s="8">
        <f t="shared" si="14"/>
        <v>1</v>
      </c>
      <c r="N20" s="18">
        <f t="shared" ref="N20:N23" si="16">N8</f>
        <v>301.62115899999998</v>
      </c>
      <c r="O20" s="8">
        <f t="shared" ref="O20:O23" si="17">B20/$N20</f>
        <v>9.3881576789511638E-3</v>
      </c>
      <c r="P20" s="8">
        <f t="shared" si="15"/>
        <v>6.1094984387351954E-2</v>
      </c>
      <c r="Q20" s="8">
        <f t="shared" si="15"/>
        <v>-5.9909590096079704E-6</v>
      </c>
      <c r="R20" s="8">
        <f t="shared" si="15"/>
        <v>0.24290394693430645</v>
      </c>
      <c r="S20" s="8">
        <f t="shared" si="15"/>
        <v>7.0477151107293509E-2</v>
      </c>
      <c r="T20" s="8">
        <f t="shared" si="15"/>
        <v>0.31338708900060958</v>
      </c>
    </row>
    <row r="21" spans="1:24">
      <c r="A21">
        <v>2008</v>
      </c>
      <c r="B21">
        <v>3.5801370000000001</v>
      </c>
      <c r="C21">
        <v>18.46876</v>
      </c>
      <c r="D21" s="18">
        <f t="shared" si="7"/>
        <v>0.40851299999999924</v>
      </c>
      <c r="E21" s="18">
        <v>72.589579999999998</v>
      </c>
      <c r="F21" s="18">
        <v>22.457409999999999</v>
      </c>
      <c r="G21" s="18">
        <f t="shared" si="13"/>
        <v>94.638476999999995</v>
      </c>
      <c r="H21" s="8">
        <f t="shared" si="14"/>
        <v>3.7829613424569378E-2</v>
      </c>
      <c r="I21" s="8">
        <f t="shared" si="14"/>
        <v>0.19515064681355768</v>
      </c>
      <c r="J21" s="8">
        <f t="shared" si="14"/>
        <v>4.3165635474036552E-3</v>
      </c>
      <c r="K21" s="8">
        <f t="shared" si="14"/>
        <v>0.76701973976187299</v>
      </c>
      <c r="L21" s="8">
        <f t="shared" si="14"/>
        <v>0.23729682378553071</v>
      </c>
      <c r="M21" s="8">
        <f t="shared" si="14"/>
        <v>1</v>
      </c>
      <c r="N21" s="18">
        <f t="shared" si="16"/>
        <v>304.05972800000001</v>
      </c>
      <c r="O21" s="8">
        <f t="shared" si="17"/>
        <v>1.1774453077192781E-2</v>
      </c>
      <c r="P21" s="8">
        <f t="shared" si="15"/>
        <v>6.0740566077201776E-2</v>
      </c>
      <c r="Q21" s="8">
        <f t="shared" si="15"/>
        <v>1.343528795105675E-3</v>
      </c>
      <c r="R21" s="8">
        <f t="shared" si="15"/>
        <v>0.23873460808989475</v>
      </c>
      <c r="S21" s="8">
        <f t="shared" si="15"/>
        <v>7.3858547949500239E-2</v>
      </c>
      <c r="T21" s="8">
        <f t="shared" si="15"/>
        <v>0.31124962724428928</v>
      </c>
    </row>
    <row r="22" spans="1:24">
      <c r="A22">
        <v>2009</v>
      </c>
      <c r="B22">
        <v>6.2647909999999998</v>
      </c>
      <c r="C22">
        <v>18.974430000000002</v>
      </c>
      <c r="D22" s="18">
        <f t="shared" si="7"/>
        <v>2.1974589999999985</v>
      </c>
      <c r="E22" s="18">
        <v>69.307860000000005</v>
      </c>
      <c r="F22" s="18">
        <v>27.436679999999999</v>
      </c>
      <c r="G22" s="18">
        <f t="shared" si="13"/>
        <v>94.547081000000006</v>
      </c>
      <c r="H22" s="8">
        <f t="shared" si="14"/>
        <v>6.6261072618413241E-2</v>
      </c>
      <c r="I22" s="8">
        <f t="shared" si="14"/>
        <v>0.20068763413224783</v>
      </c>
      <c r="J22" s="8">
        <f t="shared" si="14"/>
        <v>2.3241954979022549E-2</v>
      </c>
      <c r="K22" s="8">
        <f t="shared" si="14"/>
        <v>0.73305129324933893</v>
      </c>
      <c r="L22" s="8">
        <f t="shared" si="14"/>
        <v>0.29019066172968361</v>
      </c>
      <c r="M22" s="8">
        <f t="shared" si="14"/>
        <v>1</v>
      </c>
      <c r="N22" s="18">
        <f t="shared" si="16"/>
        <v>307.00655599999999</v>
      </c>
      <c r="O22" s="8">
        <f t="shared" si="17"/>
        <v>2.0406049569833943E-2</v>
      </c>
      <c r="P22" s="8">
        <f t="shared" si="15"/>
        <v>6.1804641070922282E-2</v>
      </c>
      <c r="Q22" s="8">
        <f t="shared" si="15"/>
        <v>7.1576940526312362E-3</v>
      </c>
      <c r="R22" s="8">
        <f t="shared" si="15"/>
        <v>0.22575368064778398</v>
      </c>
      <c r="S22" s="8">
        <f t="shared" si="15"/>
        <v>8.9368384693387454E-2</v>
      </c>
      <c r="T22" s="8">
        <f t="shared" si="15"/>
        <v>0.30796437128854021</v>
      </c>
    </row>
    <row r="23" spans="1:24">
      <c r="A23">
        <v>2010</v>
      </c>
      <c r="B23">
        <v>6.3145160000000002</v>
      </c>
      <c r="C23">
        <v>19.42202</v>
      </c>
      <c r="D23" s="18">
        <f t="shared" si="7"/>
        <v>1.8642739999999982</v>
      </c>
      <c r="E23" s="18">
        <v>68.520560000000003</v>
      </c>
      <c r="F23" s="18">
        <v>27.600809999999999</v>
      </c>
      <c r="G23" s="18">
        <f t="shared" si="13"/>
        <v>94.257096000000004</v>
      </c>
      <c r="H23" s="8">
        <f t="shared" si="14"/>
        <v>6.6992473436694885E-2</v>
      </c>
      <c r="I23" s="8">
        <f t="shared" si="14"/>
        <v>0.20605366411882664</v>
      </c>
      <c r="J23" s="8">
        <f t="shared" si="14"/>
        <v>1.9778606376754892E-2</v>
      </c>
      <c r="K23" s="8">
        <f t="shared" si="14"/>
        <v>0.72695386244447846</v>
      </c>
      <c r="L23" s="8">
        <f t="shared" si="14"/>
        <v>0.29282474393227642</v>
      </c>
      <c r="M23" s="8">
        <f t="shared" si="14"/>
        <v>1</v>
      </c>
      <c r="N23" s="18">
        <f t="shared" si="16"/>
        <v>308.74553800000001</v>
      </c>
      <c r="O23" s="8">
        <f t="shared" si="17"/>
        <v>2.0452169255317301E-2</v>
      </c>
      <c r="P23" s="8">
        <f t="shared" si="15"/>
        <v>6.2906237044954474E-2</v>
      </c>
      <c r="Q23" s="8">
        <f t="shared" si="15"/>
        <v>6.0382216762594901E-3</v>
      </c>
      <c r="R23" s="8">
        <f t="shared" si="15"/>
        <v>0.22193214659510319</v>
      </c>
      <c r="S23" s="8">
        <f t="shared" si="15"/>
        <v>8.9396627976531265E-2</v>
      </c>
      <c r="T23" s="8">
        <f t="shared" si="15"/>
        <v>0.30529055289537499</v>
      </c>
    </row>
    <row r="24" spans="1:24">
      <c r="A24" s="2" t="s">
        <v>123</v>
      </c>
      <c r="D24" s="18"/>
      <c r="E24" s="18"/>
      <c r="F24" s="18"/>
    </row>
    <row r="25" spans="1:24">
      <c r="A25">
        <v>2006</v>
      </c>
      <c r="B25">
        <v>2.8464330000000002</v>
      </c>
      <c r="C25">
        <v>18.225739999999998</v>
      </c>
      <c r="D25" s="18">
        <f t="shared" si="7"/>
        <v>-8.1112999999998436E-2</v>
      </c>
      <c r="E25" s="18">
        <v>71.991</v>
      </c>
      <c r="F25" s="18">
        <v>20.991060000000001</v>
      </c>
      <c r="G25" s="18">
        <f t="shared" ref="G25:G29" si="18">B25+C25+E25</f>
        <v>93.063173000000006</v>
      </c>
      <c r="H25" s="8">
        <f t="shared" ref="H25:M29" si="19">B25/$G25</f>
        <v>3.0586029986319079E-2</v>
      </c>
      <c r="I25" s="8">
        <f t="shared" si="19"/>
        <v>0.19584266700212336</v>
      </c>
      <c r="J25" s="8">
        <f t="shared" si="19"/>
        <v>-8.7159074191461784E-4</v>
      </c>
      <c r="K25" s="8">
        <f t="shared" si="19"/>
        <v>0.77357130301155752</v>
      </c>
      <c r="L25" s="8">
        <f t="shared" si="19"/>
        <v>0.22555710624652783</v>
      </c>
      <c r="M25" s="8">
        <f t="shared" si="19"/>
        <v>1</v>
      </c>
      <c r="N25" s="18"/>
      <c r="O25" s="8">
        <f>B25/$N19</f>
        <v>9.5071723559322623E-3</v>
      </c>
      <c r="P25" s="8">
        <f t="shared" ref="P25:T29" si="20">C25/$N19</f>
        <v>6.0874523129267E-2</v>
      </c>
      <c r="Q25" s="8">
        <f t="shared" si="20"/>
        <v>-2.7091987456115028E-4</v>
      </c>
      <c r="R25" s="8">
        <f t="shared" si="20"/>
        <v>0.24045211852023901</v>
      </c>
      <c r="S25" s="8">
        <f t="shared" si="20"/>
        <v>7.011077561063811E-2</v>
      </c>
      <c r="T25" s="8">
        <f t="shared" si="20"/>
        <v>0.3108338140054383</v>
      </c>
    </row>
    <row r="26" spans="1:24">
      <c r="A26">
        <v>2007</v>
      </c>
      <c r="B26">
        <v>2.7875380000000001</v>
      </c>
      <c r="C26">
        <v>18.410640000000001</v>
      </c>
      <c r="D26" s="18">
        <f t="shared" si="7"/>
        <v>-2.7018000000001763E-2</v>
      </c>
      <c r="E26" s="18">
        <v>73.073560000000001</v>
      </c>
      <c r="F26" s="18">
        <v>21.17116</v>
      </c>
      <c r="G26" s="18">
        <f t="shared" si="18"/>
        <v>94.271737999999999</v>
      </c>
      <c r="H26" s="8">
        <f t="shared" si="19"/>
        <v>2.9569180107828288E-2</v>
      </c>
      <c r="I26" s="8">
        <f t="shared" si="19"/>
        <v>0.1952933126150703</v>
      </c>
      <c r="J26" s="8">
        <f t="shared" si="19"/>
        <v>-2.8659702868744991E-4</v>
      </c>
      <c r="K26" s="8">
        <f t="shared" si="19"/>
        <v>0.7751375072771014</v>
      </c>
      <c r="L26" s="8">
        <f t="shared" si="19"/>
        <v>0.22457589569421113</v>
      </c>
      <c r="M26" s="8">
        <f t="shared" si="19"/>
        <v>1</v>
      </c>
      <c r="N26" s="18"/>
      <c r="O26" s="8">
        <f t="shared" ref="O26:O29" si="21">B26/$N20</f>
        <v>9.2418516301769147E-3</v>
      </c>
      <c r="P26" s="8">
        <f t="shared" si="20"/>
        <v>6.1038953835463518E-2</v>
      </c>
      <c r="Q26" s="8">
        <f t="shared" si="20"/>
        <v>-8.9575943841531904E-5</v>
      </c>
      <c r="R26" s="8">
        <f t="shared" si="20"/>
        <v>0.24226934291436764</v>
      </c>
      <c r="S26" s="8">
        <f t="shared" si="20"/>
        <v>7.0191229521798904E-2</v>
      </c>
      <c r="T26" s="8">
        <f t="shared" si="20"/>
        <v>0.31255014838000805</v>
      </c>
    </row>
    <row r="27" spans="1:24">
      <c r="A27">
        <v>2008</v>
      </c>
      <c r="B27">
        <v>3.257504</v>
      </c>
      <c r="C27">
        <v>18.504809999999999</v>
      </c>
      <c r="D27" s="18">
        <f t="shared" si="7"/>
        <v>0.14468600000000009</v>
      </c>
      <c r="E27" s="18">
        <v>72.956019999999995</v>
      </c>
      <c r="F27" s="18">
        <v>21.907</v>
      </c>
      <c r="G27" s="18">
        <f t="shared" si="18"/>
        <v>94.718333999999999</v>
      </c>
      <c r="H27" s="8">
        <f t="shared" si="19"/>
        <v>3.439148327925616E-2</v>
      </c>
      <c r="I27" s="8">
        <f t="shared" si="19"/>
        <v>0.19536671749315185</v>
      </c>
      <c r="J27" s="8">
        <f t="shared" si="19"/>
        <v>1.5275395363267275E-3</v>
      </c>
      <c r="K27" s="8">
        <f t="shared" si="19"/>
        <v>0.77024179922759195</v>
      </c>
      <c r="L27" s="8">
        <f t="shared" si="19"/>
        <v>0.23128574030873475</v>
      </c>
      <c r="M27" s="8">
        <f t="shared" si="19"/>
        <v>1</v>
      </c>
      <c r="N27" s="18"/>
      <c r="O27" s="8">
        <f t="shared" si="21"/>
        <v>1.0713368789174211E-2</v>
      </c>
      <c r="P27" s="8">
        <f t="shared" si="20"/>
        <v>6.0859128309159044E-2</v>
      </c>
      <c r="Q27" s="8">
        <f t="shared" si="20"/>
        <v>4.7584729800192446E-4</v>
      </c>
      <c r="R27" s="8">
        <f t="shared" si="20"/>
        <v>0.23993976604491338</v>
      </c>
      <c r="S27" s="8">
        <f t="shared" si="20"/>
        <v>7.2048344396335187E-2</v>
      </c>
      <c r="T27" s="8">
        <f t="shared" si="20"/>
        <v>0.31151226314324665</v>
      </c>
    </row>
    <row r="28" spans="1:24">
      <c r="A28">
        <v>2009</v>
      </c>
      <c r="B28">
        <v>5.6999760000000004</v>
      </c>
      <c r="C28">
        <v>18.639959999999999</v>
      </c>
      <c r="D28" s="18">
        <f t="shared" si="7"/>
        <v>1.9509840000000018</v>
      </c>
      <c r="E28" s="18">
        <v>70.174840000000003</v>
      </c>
      <c r="F28" s="18">
        <v>26.29092</v>
      </c>
      <c r="G28" s="18">
        <f t="shared" si="18"/>
        <v>94.514775999999998</v>
      </c>
      <c r="H28" s="8">
        <f t="shared" si="19"/>
        <v>6.0307776638014787E-2</v>
      </c>
      <c r="I28" s="8">
        <f t="shared" si="19"/>
        <v>0.19721741709465618</v>
      </c>
      <c r="J28" s="8">
        <f t="shared" si="19"/>
        <v>2.0642105738048852E-2</v>
      </c>
      <c r="K28" s="8">
        <f t="shared" si="19"/>
        <v>0.74247480626732909</v>
      </c>
      <c r="L28" s="8">
        <f t="shared" si="19"/>
        <v>0.27816729947071978</v>
      </c>
      <c r="M28" s="8">
        <f t="shared" si="19"/>
        <v>1</v>
      </c>
      <c r="N28" s="18"/>
      <c r="O28" s="8">
        <f t="shared" si="21"/>
        <v>1.8566300584147787E-2</v>
      </c>
      <c r="P28" s="8">
        <f t="shared" si="20"/>
        <v>6.0715185508937466E-2</v>
      </c>
      <c r="Q28" s="8">
        <f t="shared" si="20"/>
        <v>6.3548610343031305E-3</v>
      </c>
      <c r="R28" s="8">
        <f t="shared" si="20"/>
        <v>0.22857765942952699</v>
      </c>
      <c r="S28" s="8">
        <f t="shared" si="20"/>
        <v>8.5636347127388379E-2</v>
      </c>
      <c r="T28" s="8">
        <f t="shared" si="20"/>
        <v>0.30785914552261223</v>
      </c>
    </row>
    <row r="29" spans="1:24">
      <c r="A29">
        <v>2010</v>
      </c>
      <c r="B29">
        <v>6.413932</v>
      </c>
      <c r="C29">
        <v>19.297129999999999</v>
      </c>
      <c r="D29" s="18">
        <f t="shared" si="7"/>
        <v>1.8763880000000022</v>
      </c>
      <c r="E29" s="18">
        <v>68.495159999999998</v>
      </c>
      <c r="F29" s="18">
        <v>27.58745</v>
      </c>
      <c r="G29" s="18">
        <f t="shared" si="18"/>
        <v>94.206221999999997</v>
      </c>
      <c r="H29" s="8">
        <f t="shared" si="19"/>
        <v>6.8083953096006761E-2</v>
      </c>
      <c r="I29" s="8">
        <f t="shared" si="19"/>
        <v>0.20483923025806086</v>
      </c>
      <c r="J29" s="8">
        <f t="shared" si="19"/>
        <v>1.991787761109879E-2</v>
      </c>
      <c r="K29" s="8">
        <f t="shared" si="19"/>
        <v>0.72707681664593238</v>
      </c>
      <c r="L29" s="8">
        <f t="shared" si="19"/>
        <v>0.29284106096516643</v>
      </c>
      <c r="M29" s="8">
        <f t="shared" si="19"/>
        <v>1</v>
      </c>
      <c r="N29" s="18"/>
      <c r="O29" s="8">
        <f t="shared" si="21"/>
        <v>2.0774169050501386E-2</v>
      </c>
      <c r="P29" s="8">
        <f t="shared" si="20"/>
        <v>6.2501729174787288E-2</v>
      </c>
      <c r="Q29" s="8">
        <f t="shared" si="20"/>
        <v>6.0774578708243619E-3</v>
      </c>
      <c r="R29" s="8">
        <f t="shared" si="20"/>
        <v>0.22184987819969723</v>
      </c>
      <c r="S29" s="8">
        <f t="shared" si="20"/>
        <v>8.9353356096113043E-2</v>
      </c>
      <c r="T29" s="8">
        <f t="shared" si="20"/>
        <v>0.3051257764249859</v>
      </c>
    </row>
    <row r="34" spans="1:2">
      <c r="A34" s="33" t="s">
        <v>125</v>
      </c>
    </row>
    <row r="35" spans="1:2">
      <c r="A35" s="34" t="s">
        <v>126</v>
      </c>
    </row>
    <row r="36" spans="1:2">
      <c r="A36">
        <v>2007</v>
      </c>
      <c r="B36">
        <v>23.652439999999999</v>
      </c>
    </row>
  </sheetData>
  <mergeCells count="3">
    <mergeCell ref="B4:G4"/>
    <mergeCell ref="H4:M4"/>
    <mergeCell ref="O4:T4"/>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F77"/>
  <sheetViews>
    <sheetView workbookViewId="0"/>
  </sheetViews>
  <sheetFormatPr defaultRowHeight="15"/>
  <sheetData>
    <row r="1" spans="1:6">
      <c r="A1" t="str">
        <f>"Figure "&amp;B2&amp;".  Government Safety Net Benefit Rules Compared with Hours Not At Work"</f>
        <v>Figure 1.1.  Government Safety Net Benefit Rules Compared with Hours Not At Work</v>
      </c>
    </row>
    <row r="2" spans="1:6">
      <c r="A2" t="s">
        <v>150</v>
      </c>
      <c r="B2" s="27" t="s">
        <v>151</v>
      </c>
    </row>
    <row r="3" spans="1:6">
      <c r="F3">
        <f>52*CPSMORG!$B$36/AVERAGE($D$18:$D$29)</f>
        <v>12.283397566515658</v>
      </c>
    </row>
    <row r="4" spans="1:6">
      <c r="D4" t="s">
        <v>273</v>
      </c>
      <c r="F4" t="s">
        <v>275</v>
      </c>
    </row>
    <row r="5" spans="1:6">
      <c r="B5" t="s">
        <v>272</v>
      </c>
      <c r="D5" t="s">
        <v>274</v>
      </c>
      <c r="F5" t="s">
        <v>276</v>
      </c>
    </row>
    <row r="6" spans="1:6">
      <c r="A6" s="4">
        <v>38718</v>
      </c>
      <c r="B6" s="7">
        <f>12*VLOOKUP($A6,GovGener!$A$29:$M$136,8)</f>
        <v>10217.240900667464</v>
      </c>
    </row>
    <row r="7" spans="1:6">
      <c r="A7" s="4">
        <v>38749</v>
      </c>
      <c r="B7" s="7">
        <f>12*VLOOKUP($A7,GovGener!$A$29:$M$136,8)</f>
        <v>10216.782985963075</v>
      </c>
    </row>
    <row r="8" spans="1:6">
      <c r="A8" s="4">
        <v>38777</v>
      </c>
      <c r="B8" s="7">
        <f>12*VLOOKUP($A8,GovGener!$A$29:$M$136,8)</f>
        <v>10215.034779335843</v>
      </c>
    </row>
    <row r="9" spans="1:6">
      <c r="A9" s="4">
        <v>38808</v>
      </c>
      <c r="B9" s="7">
        <f>12*VLOOKUP($A9,GovGener!$A$29:$M$136,8)</f>
        <v>10210.432411590053</v>
      </c>
    </row>
    <row r="10" spans="1:6">
      <c r="A10" s="4">
        <v>38838</v>
      </c>
      <c r="B10" s="7">
        <f>12*VLOOKUP($A10,GovGener!$A$29:$M$136,8)</f>
        <v>10207.553270860468</v>
      </c>
    </row>
    <row r="11" spans="1:6">
      <c r="A11" s="4">
        <v>38869</v>
      </c>
      <c r="B11" s="7">
        <f>12*VLOOKUP($A11,GovGener!$A$29:$M$136,8)</f>
        <v>10205.394877066665</v>
      </c>
    </row>
    <row r="12" spans="1:6">
      <c r="A12" s="4">
        <v>38899</v>
      </c>
      <c r="B12" s="7">
        <f>12*VLOOKUP($A12,GovGener!$A$29:$M$136,8)</f>
        <v>10201.715070970402</v>
      </c>
    </row>
    <row r="13" spans="1:6">
      <c r="A13" s="4">
        <v>38930</v>
      </c>
      <c r="B13" s="7">
        <f>12*VLOOKUP($A13,GovGener!$A$29:$M$136,8)</f>
        <v>10197.283720862331</v>
      </c>
    </row>
    <row r="14" spans="1:6">
      <c r="A14" s="4">
        <v>38961</v>
      </c>
      <c r="B14" s="7">
        <f>12*VLOOKUP($A14,GovGener!$A$29:$M$136,8)</f>
        <v>10199.611742315927</v>
      </c>
    </row>
    <row r="15" spans="1:6">
      <c r="A15" s="4">
        <v>38991</v>
      </c>
      <c r="B15" s="7">
        <f>12*VLOOKUP($A15,GovGener!$A$29:$M$136,8)</f>
        <v>10234.384601151494</v>
      </c>
    </row>
    <row r="16" spans="1:6">
      <c r="A16" s="4">
        <v>39022</v>
      </c>
      <c r="B16" s="7">
        <f>12*VLOOKUP($A16,GovGener!$A$29:$M$136,8)</f>
        <v>10232.883759728595</v>
      </c>
    </row>
    <row r="17" spans="1:6">
      <c r="A17" s="4">
        <v>39052</v>
      </c>
      <c r="B17" s="7">
        <f>12*VLOOKUP($A17,GovGener!$A$29:$M$136,8)</f>
        <v>10237.33005879658</v>
      </c>
    </row>
    <row r="18" spans="1:6">
      <c r="A18" s="4">
        <v>39083</v>
      </c>
      <c r="B18" s="7">
        <f>12*VLOOKUP($A18,GovGener!$A$29:$M$136,8)</f>
        <v>10233.839493797821</v>
      </c>
      <c r="D18">
        <v>99.958752981348141</v>
      </c>
      <c r="F18" s="19">
        <f>52*7*24-(D18*F$3)</f>
        <v>7508.1668968769682</v>
      </c>
    </row>
    <row r="19" spans="1:6">
      <c r="A19" s="4">
        <v>39114</v>
      </c>
      <c r="B19" s="7">
        <f>12*VLOOKUP($A19,GovGener!$A$29:$M$136,8)</f>
        <v>10229.589782235787</v>
      </c>
      <c r="D19">
        <v>100.007673755295</v>
      </c>
      <c r="F19" s="19">
        <f t="shared" ref="F19:F77" si="0">52*7*24-(D19*F$3)</f>
        <v>7507.5659835613178</v>
      </c>
    </row>
    <row r="20" spans="1:6">
      <c r="A20" s="4">
        <v>39142</v>
      </c>
      <c r="B20" s="7">
        <f>12*VLOOKUP($A20,GovGener!$A$29:$M$136,8)</f>
        <v>10225.011890278614</v>
      </c>
      <c r="D20">
        <v>100.32694216782851</v>
      </c>
      <c r="F20" s="19">
        <f t="shared" si="0"/>
        <v>7503.6442827197379</v>
      </c>
    </row>
    <row r="21" spans="1:6">
      <c r="A21" s="4">
        <v>39173</v>
      </c>
      <c r="B21" s="7">
        <f>12*VLOOKUP($A21,GovGener!$A$29:$M$136,8)</f>
        <v>10222.373659135877</v>
      </c>
      <c r="D21">
        <v>100.36583920366887</v>
      </c>
      <c r="F21" s="19">
        <f t="shared" si="0"/>
        <v>7503.1664949643518</v>
      </c>
    </row>
    <row r="22" spans="1:6">
      <c r="A22" s="4">
        <v>39203</v>
      </c>
      <c r="B22" s="7">
        <f>12*VLOOKUP($A22,GovGener!$A$29:$M$136,8)</f>
        <v>10218.981614134116</v>
      </c>
      <c r="D22">
        <v>100.38466173830528</v>
      </c>
      <c r="F22" s="19">
        <f t="shared" si="0"/>
        <v>7502.9352902882038</v>
      </c>
    </row>
    <row r="23" spans="1:6">
      <c r="A23" s="4">
        <v>39234</v>
      </c>
      <c r="B23" s="7">
        <f>12*VLOOKUP($A23,GovGener!$A$29:$M$136,8)</f>
        <v>10227.827561306438</v>
      </c>
      <c r="D23">
        <v>100.30308601512321</v>
      </c>
      <c r="F23" s="19">
        <f t="shared" si="0"/>
        <v>7503.9373173278245</v>
      </c>
    </row>
    <row r="24" spans="1:6">
      <c r="A24" s="4">
        <v>39264</v>
      </c>
      <c r="B24" s="7">
        <f>12*VLOOKUP($A24,GovGener!$A$29:$M$136,8)</f>
        <v>10225.822979086613</v>
      </c>
      <c r="D24">
        <v>100.19036379949495</v>
      </c>
      <c r="F24" s="19">
        <f t="shared" si="0"/>
        <v>7505.3219291169653</v>
      </c>
    </row>
    <row r="25" spans="1:6">
      <c r="A25" s="4">
        <v>39295</v>
      </c>
      <c r="B25" s="7">
        <f>12*VLOOKUP($A25,GovGener!$A$29:$M$136,8)</f>
        <v>10224.978651230915</v>
      </c>
      <c r="D25">
        <v>100.14970316677774</v>
      </c>
      <c r="F25" s="19">
        <f t="shared" si="0"/>
        <v>7505.8213798339366</v>
      </c>
    </row>
    <row r="26" spans="1:6">
      <c r="A26" s="4">
        <v>39326</v>
      </c>
      <c r="B26" s="7">
        <f>12*VLOOKUP($A26,GovGener!$A$29:$M$136,8)</f>
        <v>10220.433585467104</v>
      </c>
      <c r="D26">
        <v>100.09599017262481</v>
      </c>
      <c r="F26" s="19">
        <f t="shared" si="0"/>
        <v>7506.4811578956051</v>
      </c>
    </row>
    <row r="27" spans="1:6">
      <c r="A27" s="4">
        <v>39356</v>
      </c>
      <c r="B27" s="7">
        <f>12*VLOOKUP($A27,GovGener!$A$29:$M$136,8)</f>
        <v>10284.973713078161</v>
      </c>
      <c r="D27">
        <v>99.716077606339695</v>
      </c>
      <c r="F27" s="19">
        <f t="shared" si="0"/>
        <v>7511.1477749878004</v>
      </c>
    </row>
    <row r="28" spans="1:6">
      <c r="A28" s="4">
        <v>39387</v>
      </c>
      <c r="B28" s="7">
        <f>12*VLOOKUP($A28,GovGener!$A$29:$M$136,8)</f>
        <v>10278.275432196006</v>
      </c>
      <c r="D28">
        <v>100.05141527546894</v>
      </c>
      <c r="F28" s="19">
        <f t="shared" si="0"/>
        <v>7507.0286890788575</v>
      </c>
    </row>
    <row r="29" spans="1:6">
      <c r="A29" s="4">
        <v>39417</v>
      </c>
      <c r="B29" s="7">
        <f>12*VLOOKUP($A29,GovGener!$A$29:$M$136,8)</f>
        <v>10274.480427306913</v>
      </c>
      <c r="D29">
        <v>100</v>
      </c>
      <c r="F29" s="19">
        <f t="shared" si="0"/>
        <v>7507.6602433484341</v>
      </c>
    </row>
    <row r="30" spans="1:6">
      <c r="A30" s="4">
        <v>39448</v>
      </c>
      <c r="B30" s="7">
        <f>12*VLOOKUP($A30,GovGener!$A$29:$M$136,8)</f>
        <v>10304.477372574569</v>
      </c>
      <c r="D30">
        <v>100.02209706300259</v>
      </c>
      <c r="F30" s="19">
        <f t="shared" si="0"/>
        <v>7507.3888163385209</v>
      </c>
    </row>
    <row r="31" spans="1:6">
      <c r="A31" s="4">
        <v>39479</v>
      </c>
      <c r="B31" s="7">
        <f>12*VLOOKUP($A31,GovGener!$A$29:$M$136,8)</f>
        <v>10301.678275197719</v>
      </c>
      <c r="D31">
        <v>99.908639275049353</v>
      </c>
      <c r="F31" s="19">
        <f t="shared" si="0"/>
        <v>7508.7824634549679</v>
      </c>
    </row>
    <row r="32" spans="1:6">
      <c r="A32" s="4">
        <v>39508</v>
      </c>
      <c r="B32" s="7">
        <f>12*VLOOKUP($A32,GovGener!$A$29:$M$136,8)</f>
        <v>10314.031185368181</v>
      </c>
      <c r="D32">
        <v>99.766973970840397</v>
      </c>
      <c r="F32" s="19">
        <f t="shared" si="0"/>
        <v>7510.522594707948</v>
      </c>
    </row>
    <row r="33" spans="1:6">
      <c r="A33" s="4">
        <v>39539</v>
      </c>
      <c r="B33" s="7">
        <f>12*VLOOKUP($A33,GovGener!$A$29:$M$136,8)</f>
        <v>10310.020465395508</v>
      </c>
      <c r="D33">
        <v>99.531196024405787</v>
      </c>
      <c r="F33" s="19">
        <f t="shared" si="0"/>
        <v>7513.4187489614214</v>
      </c>
    </row>
    <row r="34" spans="1:6">
      <c r="A34" s="4">
        <v>39569</v>
      </c>
      <c r="B34" s="7">
        <f>12*VLOOKUP($A34,GovGener!$A$29:$M$136,8)</f>
        <v>10304.850240357289</v>
      </c>
      <c r="D34">
        <v>99.305699277981617</v>
      </c>
      <c r="F34" s="19">
        <f t="shared" si="0"/>
        <v>7516.1886151477047</v>
      </c>
    </row>
    <row r="35" spans="1:6">
      <c r="A35" s="4">
        <v>39600</v>
      </c>
      <c r="B35" s="7">
        <f>12*VLOOKUP($A35,GovGener!$A$29:$M$136,8)</f>
        <v>10297.162766318846</v>
      </c>
      <c r="D35">
        <v>99.085105558845541</v>
      </c>
      <c r="F35" s="19">
        <f t="shared" si="0"/>
        <v>7518.8982555005296</v>
      </c>
    </row>
    <row r="36" spans="1:6">
      <c r="A36" s="4">
        <v>39630</v>
      </c>
      <c r="B36" s="7">
        <f>12*VLOOKUP($A36,GovGener!$A$29:$M$136,8)</f>
        <v>11891.492286368599</v>
      </c>
      <c r="D36">
        <v>98.578089086675888</v>
      </c>
      <c r="F36" s="19">
        <f t="shared" si="0"/>
        <v>7525.126140400962</v>
      </c>
    </row>
    <row r="37" spans="1:6">
      <c r="A37" s="4">
        <v>39661</v>
      </c>
      <c r="B37" s="7">
        <f>12*VLOOKUP($A37,GovGener!$A$29:$M$136,8)</f>
        <v>11892.526531539219</v>
      </c>
      <c r="D37">
        <v>98.252520272741251</v>
      </c>
      <c r="F37" s="19">
        <f t="shared" si="0"/>
        <v>7529.1252315777801</v>
      </c>
    </row>
    <row r="38" spans="1:6">
      <c r="A38" s="4">
        <v>39692</v>
      </c>
      <c r="B38" s="7">
        <f>12*VLOOKUP($A38,GovGener!$A$29:$M$136,8)</f>
        <v>11891.043152815808</v>
      </c>
      <c r="D38">
        <v>97.628808763372191</v>
      </c>
      <c r="F38" s="19">
        <f t="shared" si="0"/>
        <v>7536.7865280141714</v>
      </c>
    </row>
    <row r="39" spans="1:6">
      <c r="A39" s="4">
        <v>39722</v>
      </c>
      <c r="B39" s="7">
        <f>12*VLOOKUP($A39,GovGener!$A$29:$M$136,8)</f>
        <v>12099.953135666861</v>
      </c>
      <c r="D39">
        <v>97.214450347854665</v>
      </c>
      <c r="F39" s="19">
        <f t="shared" si="0"/>
        <v>7541.876257167005</v>
      </c>
    </row>
    <row r="40" spans="1:6">
      <c r="A40" s="4">
        <v>39753</v>
      </c>
      <c r="B40" s="7">
        <f>12*VLOOKUP($A40,GovGener!$A$29:$M$136,8)</f>
        <v>12117.503444030956</v>
      </c>
      <c r="D40">
        <v>95.961353428191345</v>
      </c>
      <c r="F40" s="19">
        <f t="shared" si="0"/>
        <v>7557.2685448206057</v>
      </c>
    </row>
    <row r="41" spans="1:6">
      <c r="A41" s="4">
        <v>39783</v>
      </c>
      <c r="B41" s="7">
        <f>12*VLOOKUP($A41,GovGener!$A$29:$M$136,8)</f>
        <v>12777.957007414927</v>
      </c>
      <c r="D41">
        <v>95.191934361929199</v>
      </c>
      <c r="F41" s="19">
        <f t="shared" si="0"/>
        <v>7566.7196251067608</v>
      </c>
    </row>
    <row r="42" spans="1:6">
      <c r="A42" s="4">
        <v>39814</v>
      </c>
      <c r="B42" s="7">
        <f>12*VLOOKUP($A42,GovGener!$A$29:$M$136,8)</f>
        <v>12776.915848085077</v>
      </c>
      <c r="D42">
        <v>94.764679321951334</v>
      </c>
      <c r="F42" s="19">
        <f t="shared" si="0"/>
        <v>7571.9677686251061</v>
      </c>
    </row>
    <row r="43" spans="1:6">
      <c r="A43" s="4">
        <v>39845</v>
      </c>
      <c r="B43" s="7">
        <f>12*VLOOKUP($A43,GovGener!$A$29:$M$136,8)</f>
        <v>12772.585438784758</v>
      </c>
      <c r="D43">
        <v>93.611823250379956</v>
      </c>
      <c r="F43" s="19">
        <f t="shared" si="0"/>
        <v>7586.1287580891894</v>
      </c>
    </row>
    <row r="44" spans="1:6">
      <c r="A44" s="4">
        <v>39873</v>
      </c>
      <c r="B44" s="7">
        <f>12*VLOOKUP($A44,GovGener!$A$29:$M$136,8)</f>
        <v>12775.860527479379</v>
      </c>
      <c r="D44">
        <v>92.459328548520915</v>
      </c>
      <c r="F44" s="19">
        <f t="shared" si="0"/>
        <v>7600.2853087054264</v>
      </c>
    </row>
    <row r="45" spans="1:6">
      <c r="A45" s="4">
        <v>39904</v>
      </c>
      <c r="B45" s="7">
        <f>12*VLOOKUP($A45,GovGener!$A$29:$M$136,8)</f>
        <v>15699.28052645264</v>
      </c>
      <c r="D45">
        <v>91.891815104723293</v>
      </c>
      <c r="F45" s="19">
        <f t="shared" si="0"/>
        <v>7607.2563019599347</v>
      </c>
    </row>
    <row r="46" spans="1:6">
      <c r="A46" s="4">
        <v>39934</v>
      </c>
      <c r="B46" s="7">
        <f>12*VLOOKUP($A46,GovGener!$A$29:$M$136,8)</f>
        <v>15700.123254751088</v>
      </c>
      <c r="D46">
        <v>91.638175355184799</v>
      </c>
      <c r="F46" s="19">
        <f t="shared" si="0"/>
        <v>7610.3718598421874</v>
      </c>
    </row>
    <row r="47" spans="1:6">
      <c r="A47" s="4">
        <v>39965</v>
      </c>
      <c r="B47" s="7">
        <f>12*VLOOKUP($A47,GovGener!$A$29:$M$136,8)</f>
        <v>15703.151608009624</v>
      </c>
      <c r="D47">
        <v>91.194463089702737</v>
      </c>
      <c r="F47" s="19">
        <f t="shared" si="0"/>
        <v>7615.8221540042432</v>
      </c>
    </row>
    <row r="48" spans="1:6">
      <c r="A48" s="4">
        <v>39995</v>
      </c>
      <c r="B48" s="7">
        <f>12*VLOOKUP($A48,GovGener!$A$29:$M$136,8)</f>
        <v>15794.483460367119</v>
      </c>
      <c r="D48">
        <v>90.939422387474522</v>
      </c>
      <c r="F48" s="19">
        <f t="shared" si="0"/>
        <v>7618.9549203453562</v>
      </c>
    </row>
    <row r="49" spans="1:6">
      <c r="A49" s="4">
        <v>40026</v>
      </c>
      <c r="B49" s="7">
        <f>12*VLOOKUP($A49,GovGener!$A$29:$M$136,8)</f>
        <v>15817.80097111897</v>
      </c>
      <c r="D49">
        <v>90.690443578824485</v>
      </c>
      <c r="F49" s="19">
        <f t="shared" si="0"/>
        <v>7622.0132260376413</v>
      </c>
    </row>
    <row r="50" spans="1:6">
      <c r="A50" s="4">
        <v>40057</v>
      </c>
      <c r="B50" s="7">
        <f>12*VLOOKUP($A50,GovGener!$A$29:$M$136,8)</f>
        <v>15814.619616661817</v>
      </c>
      <c r="D50">
        <v>90.432295408766649</v>
      </c>
      <c r="F50" s="19">
        <f t="shared" si="0"/>
        <v>7625.1841626415307</v>
      </c>
    </row>
    <row r="51" spans="1:6">
      <c r="A51" s="4">
        <v>40087</v>
      </c>
      <c r="B51" s="7">
        <f>12*VLOOKUP($A51,GovGener!$A$29:$M$136,8)</f>
        <v>15808.771361198367</v>
      </c>
      <c r="D51">
        <v>90.216143419284606</v>
      </c>
      <c r="F51" s="19">
        <f t="shared" si="0"/>
        <v>7627.8392434631314</v>
      </c>
    </row>
    <row r="52" spans="1:6">
      <c r="A52" s="4">
        <v>40118</v>
      </c>
      <c r="B52" s="7">
        <f>12*VLOOKUP($A52,GovGener!$A$29:$M$136,8)</f>
        <v>15805.20747603668</v>
      </c>
      <c r="D52">
        <v>90.457044377539219</v>
      </c>
      <c r="F52" s="19">
        <f t="shared" si="0"/>
        <v>7624.8801612187362</v>
      </c>
    </row>
    <row r="53" spans="1:6">
      <c r="A53" s="4">
        <v>40148</v>
      </c>
      <c r="B53" s="7">
        <f>12*VLOOKUP($A53,GovGener!$A$29:$M$136,8)</f>
        <v>16082.133812518052</v>
      </c>
      <c r="D53">
        <v>90.279236978692495</v>
      </c>
      <c r="F53" s="19">
        <f t="shared" si="0"/>
        <v>7627.0642401890382</v>
      </c>
    </row>
    <row r="54" spans="1:6">
      <c r="A54" s="4">
        <v>40179</v>
      </c>
      <c r="B54" s="7">
        <f>12*VLOOKUP($A54,GovGener!$A$29:$M$136,8)</f>
        <v>15649.040777559105</v>
      </c>
      <c r="D54">
        <v>90.422134711970401</v>
      </c>
      <c r="F54" s="19">
        <f t="shared" si="0"/>
        <v>7625.3089705198317</v>
      </c>
    </row>
    <row r="55" spans="1:6">
      <c r="A55" s="4">
        <v>40210</v>
      </c>
      <c r="B55" s="7">
        <f>12*VLOOKUP($A55,GovGener!$A$29:$M$136,8)</f>
        <v>15658.233368898751</v>
      </c>
      <c r="D55">
        <v>90.064657737199383</v>
      </c>
      <c r="F55" s="19">
        <f t="shared" si="0"/>
        <v>7629.7000023218197</v>
      </c>
    </row>
    <row r="56" spans="1:6">
      <c r="A56" s="4">
        <v>40238</v>
      </c>
      <c r="B56" s="7">
        <f>12*VLOOKUP($A56,GovGener!$A$29:$M$136,8)</f>
        <v>15684.097531324656</v>
      </c>
      <c r="D56">
        <v>90.420513529449664</v>
      </c>
      <c r="F56" s="19">
        <f t="shared" si="0"/>
        <v>7625.3288841492613</v>
      </c>
    </row>
    <row r="57" spans="1:6">
      <c r="A57" s="4">
        <v>40269</v>
      </c>
      <c r="B57" s="7">
        <f>12*VLOOKUP($A57,GovGener!$A$29:$M$136,8)</f>
        <v>15709.050075300653</v>
      </c>
      <c r="D57">
        <v>90.768710327102653</v>
      </c>
      <c r="F57" s="19">
        <f t="shared" si="0"/>
        <v>7621.0518444523022</v>
      </c>
    </row>
    <row r="58" spans="1:6">
      <c r="A58" s="4">
        <v>40299</v>
      </c>
      <c r="B58" s="7">
        <f>12*VLOOKUP($A58,GovGener!$A$29:$M$136,8)</f>
        <v>15709.999091072168</v>
      </c>
      <c r="D58">
        <v>91.401884358268916</v>
      </c>
      <c r="F58" s="19">
        <f t="shared" si="0"/>
        <v>7613.2743160986938</v>
      </c>
    </row>
    <row r="59" spans="1:6">
      <c r="A59" s="4">
        <v>40330</v>
      </c>
      <c r="B59" s="7">
        <f>12*VLOOKUP($A59,GovGener!$A$29:$M$136,8)</f>
        <v>15196.610449760085</v>
      </c>
      <c r="D59">
        <v>90.950260842256057</v>
      </c>
      <c r="F59" s="19">
        <f t="shared" si="0"/>
        <v>7618.8217872962678</v>
      </c>
    </row>
    <row r="60" spans="1:6">
      <c r="A60" s="4">
        <v>40360</v>
      </c>
      <c r="B60" s="7">
        <f>12*VLOOKUP($A60,GovGener!$A$29:$M$136,8)</f>
        <v>14837.386302269919</v>
      </c>
      <c r="D60">
        <v>91.067490165501539</v>
      </c>
      <c r="F60" s="19">
        <f t="shared" si="0"/>
        <v>7617.3818129123902</v>
      </c>
    </row>
    <row r="61" spans="1:6">
      <c r="A61" s="4">
        <v>40391</v>
      </c>
      <c r="B61" s="7">
        <f>12*VLOOKUP($A61,GovGener!$A$29:$M$136,8)</f>
        <v>14834.215088932722</v>
      </c>
      <c r="D61">
        <v>90.959668253881659</v>
      </c>
      <c r="F61" s="19">
        <f t="shared" si="0"/>
        <v>7618.7062323191985</v>
      </c>
    </row>
    <row r="62" spans="1:6">
      <c r="A62" s="4">
        <v>40422</v>
      </c>
      <c r="B62" s="7">
        <f>12*VLOOKUP($A62,GovGener!$A$29:$M$136,8)</f>
        <v>14831.953661695905</v>
      </c>
      <c r="D62">
        <v>90.880084829993081</v>
      </c>
      <c r="F62" s="19">
        <f t="shared" si="0"/>
        <v>7619.6837871545267</v>
      </c>
    </row>
    <row r="63" spans="1:6">
      <c r="A63" s="4">
        <v>40452</v>
      </c>
      <c r="B63" s="7">
        <f>12*VLOOKUP($A63,GovGener!$A$29:$M$136,8)</f>
        <v>14827.709906426582</v>
      </c>
      <c r="D63">
        <v>91.300981186771381</v>
      </c>
      <c r="F63" s="19">
        <f t="shared" si="0"/>
        <v>7614.5137498699205</v>
      </c>
    </row>
    <row r="64" spans="1:6">
      <c r="A64" s="4">
        <v>40483</v>
      </c>
      <c r="B64" s="7">
        <f>12*VLOOKUP($A64,GovGener!$A$29:$M$136,8)</f>
        <v>14826.182430608016</v>
      </c>
      <c r="D64">
        <v>91.02129807230763</v>
      </c>
      <c r="F64" s="19">
        <f t="shared" si="0"/>
        <v>7617.94920875752</v>
      </c>
    </row>
    <row r="65" spans="1:6">
      <c r="A65" s="4">
        <v>40513</v>
      </c>
      <c r="B65" s="7">
        <f>12*VLOOKUP($A65,GovGener!$A$29:$M$136,8)</f>
        <v>14278.275849616657</v>
      </c>
      <c r="D65">
        <v>91.328594081736611</v>
      </c>
      <c r="F65" s="19">
        <f t="shared" si="0"/>
        <v>7614.1745697031001</v>
      </c>
    </row>
    <row r="66" spans="1:6">
      <c r="A66" s="4">
        <v>40544</v>
      </c>
      <c r="B66" s="7">
        <f>12*VLOOKUP($A66,GovGener!$A$29:$M$136,8)</f>
        <v>13871.713533828228</v>
      </c>
      <c r="D66">
        <v>91.353761058655223</v>
      </c>
      <c r="F66" s="19">
        <f t="shared" si="0"/>
        <v>7613.8654337200614</v>
      </c>
    </row>
    <row r="67" spans="1:6">
      <c r="A67" s="4">
        <v>40575</v>
      </c>
      <c r="B67" s="7">
        <f>12*VLOOKUP($A67,GovGener!$A$29:$M$136,8)</f>
        <v>13863.942445031709</v>
      </c>
      <c r="D67">
        <v>91.439692827825439</v>
      </c>
      <c r="F67" s="19">
        <f t="shared" si="0"/>
        <v>7612.8098996357494</v>
      </c>
    </row>
    <row r="68" spans="1:6">
      <c r="A68" s="4">
        <v>40603</v>
      </c>
      <c r="B68" s="7">
        <f>12*VLOOKUP($A68,GovGener!$A$29:$M$136,8)</f>
        <v>13856.250009548792</v>
      </c>
      <c r="D68">
        <v>91.636029474101448</v>
      </c>
      <c r="F68" s="19">
        <f t="shared" si="0"/>
        <v>7610.3982185526656</v>
      </c>
    </row>
    <row r="69" spans="1:6">
      <c r="A69" s="4">
        <v>40634</v>
      </c>
      <c r="B69" s="7">
        <f>12*VLOOKUP($A69,GovGener!$A$29:$M$136,8)</f>
        <v>13849.656042469847</v>
      </c>
      <c r="D69">
        <v>92.026490141229644</v>
      </c>
      <c r="F69" s="19">
        <f t="shared" si="0"/>
        <v>7605.6020349442424</v>
      </c>
    </row>
    <row r="70" spans="1:6">
      <c r="A70" s="4">
        <v>40664</v>
      </c>
      <c r="B70" s="7">
        <f>12*VLOOKUP($A70,GovGener!$A$29:$M$136,8)</f>
        <v>13846.25707550818</v>
      </c>
      <c r="D70">
        <v>91.918945485082745</v>
      </c>
      <c r="F70" s="19">
        <f t="shared" si="0"/>
        <v>7606.9230487118493</v>
      </c>
    </row>
    <row r="71" spans="1:6">
      <c r="A71" s="4">
        <v>40695</v>
      </c>
      <c r="B71" s="7">
        <f>12*VLOOKUP($A71,GovGener!$A$29:$M$136,8)</f>
        <v>13848.686117873491</v>
      </c>
      <c r="D71">
        <v>91.932116652664746</v>
      </c>
      <c r="F71" s="19">
        <f t="shared" si="0"/>
        <v>7606.7612620240243</v>
      </c>
    </row>
    <row r="72" spans="1:6">
      <c r="A72" s="4">
        <v>40725</v>
      </c>
      <c r="B72" s="7">
        <f>12*VLOOKUP($A72,GovGener!$A$29:$M$136,8)</f>
        <v>13841.619843192932</v>
      </c>
      <c r="D72">
        <v>91.985712487802303</v>
      </c>
      <c r="F72" s="19">
        <f t="shared" si="0"/>
        <v>7606.1029230731201</v>
      </c>
    </row>
    <row r="73" spans="1:6">
      <c r="A73" s="4">
        <v>40756</v>
      </c>
      <c r="B73" s="7">
        <f>12*VLOOKUP($A73,GovGener!$A$29:$M$136,8)</f>
        <v>13836.40013076055</v>
      </c>
      <c r="D73">
        <v>91.743738144775406</v>
      </c>
      <c r="F73" s="19">
        <f t="shared" si="0"/>
        <v>7609.0751901294161</v>
      </c>
    </row>
    <row r="74" spans="1:6">
      <c r="A74" s="4">
        <v>40787</v>
      </c>
      <c r="B74" s="7">
        <f>12*VLOOKUP($A74,GovGener!$A$29:$M$136,8)</f>
        <v>13833.214915799668</v>
      </c>
      <c r="D74">
        <v>92.031004867937128</v>
      </c>
      <c r="F74" s="19">
        <f t="shared" si="0"/>
        <v>7605.5465787611902</v>
      </c>
    </row>
    <row r="75" spans="1:6">
      <c r="A75" s="4">
        <v>40817</v>
      </c>
      <c r="B75" s="7">
        <f>12*VLOOKUP($A75,GovGener!$A$29:$M$136,8)</f>
        <v>13843.968591872108</v>
      </c>
      <c r="D75">
        <v>92.029631797215202</v>
      </c>
      <c r="F75" s="19">
        <f t="shared" si="0"/>
        <v>7605.5634447347547</v>
      </c>
    </row>
    <row r="76" spans="1:6">
      <c r="A76" s="4">
        <v>40848</v>
      </c>
      <c r="B76" s="7">
        <f>12*VLOOKUP($A76,GovGener!$A$29:$M$136,8)</f>
        <v>13842.270356416837</v>
      </c>
      <c r="D76">
        <v>92.13008304032769</v>
      </c>
      <c r="F76" s="19">
        <f t="shared" si="0"/>
        <v>7604.3295621795532</v>
      </c>
    </row>
    <row r="77" spans="1:6">
      <c r="A77" s="4">
        <v>40878</v>
      </c>
      <c r="B77" s="7">
        <f>12*VLOOKUP($A77,GovGener!$A$29:$M$136,8)</f>
        <v>13840.960893829135</v>
      </c>
      <c r="D77">
        <v>92.523170428944368</v>
      </c>
      <c r="F77" s="19">
        <f t="shared" si="0"/>
        <v>7599.5011135067907</v>
      </c>
    </row>
  </sheetData>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dimension ref="A1:P29"/>
  <sheetViews>
    <sheetView workbookViewId="0"/>
  </sheetViews>
  <sheetFormatPr defaultRowHeight="15"/>
  <cols>
    <col min="16" max="16" width="9.42578125" bestFit="1" customWidth="1"/>
  </cols>
  <sheetData>
    <row r="1" spans="1:16">
      <c r="A1" t="str">
        <f>"Figure "&amp;B2&amp;".  Labor Market Distortions Measured from Productivity, Wages, and Safety Net Statutes"</f>
        <v>Figure 3.7.  Labor Market Distortions Measured from Productivity, Wages, and Safety Net Statutes</v>
      </c>
    </row>
    <row r="2" spans="1:16">
      <c r="B2" s="27">
        <v>3.7</v>
      </c>
    </row>
    <row r="3" spans="1:16">
      <c r="D3">
        <v>1</v>
      </c>
      <c r="E3">
        <f>D3</f>
        <v>1</v>
      </c>
      <c r="F3" s="91" t="s">
        <v>343</v>
      </c>
      <c r="G3" s="91"/>
      <c r="H3" s="91" t="s">
        <v>344</v>
      </c>
      <c r="I3" s="91"/>
    </row>
    <row r="4" spans="1:16">
      <c r="B4" t="s">
        <v>350</v>
      </c>
      <c r="C4" t="s">
        <v>345</v>
      </c>
      <c r="D4" t="s">
        <v>346</v>
      </c>
      <c r="E4" t="s">
        <v>347</v>
      </c>
      <c r="F4" t="s">
        <v>348</v>
      </c>
      <c r="G4" t="s">
        <v>349</v>
      </c>
      <c r="H4" t="s">
        <v>348</v>
      </c>
      <c r="I4" t="s">
        <v>349</v>
      </c>
      <c r="K4" t="s">
        <v>484</v>
      </c>
      <c r="O4" t="s">
        <v>350</v>
      </c>
    </row>
    <row r="5" spans="1:16">
      <c r="F5" s="91" t="s">
        <v>351</v>
      </c>
      <c r="G5" s="91"/>
      <c r="H5" s="91"/>
      <c r="I5" s="91"/>
      <c r="O5" t="s">
        <v>432</v>
      </c>
    </row>
    <row r="6" spans="1:16">
      <c r="A6" s="4">
        <v>38718</v>
      </c>
      <c r="B6" s="18">
        <f>VLOOKUP($A6,AvgMargWorker!$A$29:$O$136,15)</f>
        <v>0.40063128670174719</v>
      </c>
      <c r="C6">
        <f>-LN((1-B6)/(1-$B$13))</f>
        <v>-5.6231738348484651E-3</v>
      </c>
      <c r="K6" s="7">
        <f>B6*AvgMargWorker!$B$8</f>
        <v>1556.3702858919069</v>
      </c>
      <c r="M6" t="str">
        <f>TEXT(YEAR($A6),"0")&amp;"-Q"&amp;TEXT((MONTH($A6)+2)/3,"0")</f>
        <v>2006-Q1</v>
      </c>
      <c r="O6">
        <v>2006</v>
      </c>
      <c r="P6" s="18">
        <f>VLOOKUP(DATE($O6,1,1),AvgMargWorker!$A$29:$P$136,16)</f>
        <v>0.4007503926852965</v>
      </c>
    </row>
    <row r="7" spans="1:16">
      <c r="A7" s="4">
        <v>38808</v>
      </c>
      <c r="B7" s="18">
        <f>VLOOKUP($A7,AvgMargWorker!$A$29:$O$136,15)</f>
        <v>0.4005745390238602</v>
      </c>
      <c r="C7">
        <f t="shared" ref="C7:C29" si="0">-LN((1-B7)/(1-$B$13))</f>
        <v>-5.7178484322849442E-3</v>
      </c>
      <c r="K7" s="7">
        <f>B7*AvgMargWorker!$B$8</f>
        <v>1556.1498328155039</v>
      </c>
      <c r="M7" t="str">
        <f t="shared" ref="M7:M29" si="1">TEXT(YEAR($A7),"0")&amp;"-Q"&amp;TEXT((MONTH($A7)+2)/3,"0")</f>
        <v>2006-Q2</v>
      </c>
      <c r="O7">
        <v>2007</v>
      </c>
      <c r="P7" s="18">
        <f>VLOOKUP(DATE($O7,1,1),AvgMargWorker!$A$29:$P$136,16)</f>
        <v>0.402278529833549</v>
      </c>
    </row>
    <row r="8" spans="1:16">
      <c r="A8" s="4">
        <v>38899</v>
      </c>
      <c r="B8" s="18">
        <f>VLOOKUP($A8,AvgMargWorker!$A$29:$O$136,15)</f>
        <v>0.40044131638100811</v>
      </c>
      <c r="C8">
        <f t="shared" si="0"/>
        <v>-5.9400742957393836E-3</v>
      </c>
      <c r="K8" s="7">
        <f>B8*AvgMargWorker!$B$8</f>
        <v>1555.6322902030684</v>
      </c>
      <c r="M8" t="str">
        <f t="shared" si="1"/>
        <v>2006-Q3</v>
      </c>
      <c r="O8">
        <v>2008</v>
      </c>
      <c r="P8" s="18">
        <f>VLOOKUP(DATE($O8,1,1),AvgMargWorker!$A$29:$P$136,16)</f>
        <v>0.41882930507033406</v>
      </c>
    </row>
    <row r="9" spans="1:16">
      <c r="A9" s="4">
        <v>38991</v>
      </c>
      <c r="B9" s="18">
        <f>VLOOKUP($A9,AvgMargWorker!$A$29:$O$136,15)</f>
        <v>0.40135442863457066</v>
      </c>
      <c r="C9">
        <f t="shared" si="0"/>
        <v>-4.4159394472335018E-3</v>
      </c>
      <c r="K9" s="7">
        <f>B9*AvgMargWorker!$B$8</f>
        <v>1559.1795438158063</v>
      </c>
      <c r="M9" t="str">
        <f t="shared" si="1"/>
        <v>2006-Q4</v>
      </c>
      <c r="O9">
        <v>2009</v>
      </c>
      <c r="P9" s="18">
        <f>VLOOKUP(DATE($O9,1,1),AvgMargWorker!$A$29:$P$136,16)</f>
        <v>0.47275422031835901</v>
      </c>
    </row>
    <row r="10" spans="1:16">
      <c r="A10" s="4">
        <v>39083</v>
      </c>
      <c r="B10" s="18">
        <f>VLOOKUP($A10,AvgMargWorker!$A$29:$O$136,15)</f>
        <v>0.4014062547435866</v>
      </c>
      <c r="C10">
        <f t="shared" si="0"/>
        <v>-4.3293634246643576E-3</v>
      </c>
      <c r="D10">
        <f t="shared" ref="D10:D12" si="2">IF(D$3=1,F10,H10)</f>
        <v>-1.5138801030976526E-2</v>
      </c>
      <c r="E10">
        <f t="shared" ref="E10:E29" si="3">IF(E$3=1,G10,I10)</f>
        <v>6.7590181007513113E-4</v>
      </c>
      <c r="F10" s="60">
        <v>-1.5138801030976526E-2</v>
      </c>
      <c r="G10" s="60">
        <v>6.7590181007513113E-4</v>
      </c>
      <c r="H10" s="60">
        <v>-1.5853324419193678E-2</v>
      </c>
      <c r="I10" s="60">
        <v>-3.8621578142021638E-5</v>
      </c>
      <c r="K10" s="7">
        <f>B10*AvgMargWorker!$B$8</f>
        <v>1559.3808776077071</v>
      </c>
      <c r="M10" t="str">
        <f t="shared" si="1"/>
        <v>2007-Q1</v>
      </c>
      <c r="O10">
        <v>2010</v>
      </c>
      <c r="P10" s="18">
        <f>VLOOKUP(DATE($O10,1,1),AvgMargWorker!$A$29:$P$136,16)</f>
        <v>0.47536779348903274</v>
      </c>
    </row>
    <row r="11" spans="1:16">
      <c r="A11" s="4">
        <v>39173</v>
      </c>
      <c r="B11" s="18">
        <f>VLOOKUP($A11,AvgMargWorker!$A$29:$O$136,15)</f>
        <v>0.40156053133556596</v>
      </c>
      <c r="C11">
        <f t="shared" si="0"/>
        <v>-4.0715984920970793E-3</v>
      </c>
      <c r="D11">
        <f t="shared" si="2"/>
        <v>-1.4502087278653871E-2</v>
      </c>
      <c r="E11">
        <f t="shared" si="3"/>
        <v>-8.7059414989180042E-3</v>
      </c>
      <c r="F11" s="60">
        <v>-1.4502087278653871E-2</v>
      </c>
      <c r="G11" s="60">
        <v>-8.7059414989180042E-3</v>
      </c>
      <c r="H11" s="60">
        <v>-1.6111507958312638E-2</v>
      </c>
      <c r="I11" s="60">
        <v>-1.0315362178576769E-2</v>
      </c>
      <c r="K11" s="7">
        <f>B11*AvgMargWorker!$B$8</f>
        <v>1559.9802104894252</v>
      </c>
      <c r="M11" t="str">
        <f t="shared" si="1"/>
        <v>2007-Q2</v>
      </c>
      <c r="O11">
        <v>2011</v>
      </c>
      <c r="P11" s="18">
        <f>VLOOKUP(DATE($O11,1,1),AvgMargWorker!$A$29:$P$136,16)</f>
        <v>0.44255909593368953</v>
      </c>
    </row>
    <row r="12" spans="1:16">
      <c r="A12" s="4">
        <v>39264</v>
      </c>
      <c r="B12" s="18">
        <f>VLOOKUP($A12,AvgMargWorker!$A$29:$O$136,15)</f>
        <v>0.40215515039490063</v>
      </c>
      <c r="C12">
        <f t="shared" si="0"/>
        <v>-3.0774884812521212E-3</v>
      </c>
      <c r="D12">
        <f t="shared" si="2"/>
        <v>-5.5051655820672609E-3</v>
      </c>
      <c r="E12">
        <f t="shared" si="3"/>
        <v>-5.5955205175338757E-3</v>
      </c>
      <c r="F12" s="60">
        <v>-5.5051655820672609E-3</v>
      </c>
      <c r="G12" s="60">
        <v>-5.5955205175338757E-3</v>
      </c>
      <c r="H12" s="60">
        <v>-6.2249001111747675E-3</v>
      </c>
      <c r="I12" s="60">
        <v>-6.3152550466413822E-3</v>
      </c>
      <c r="K12" s="7">
        <f>B12*AvgMargWorker!$B$8</f>
        <v>1562.2901834398463</v>
      </c>
      <c r="M12" t="str">
        <f t="shared" si="1"/>
        <v>2007-Q3</v>
      </c>
    </row>
    <row r="13" spans="1:16">
      <c r="A13" s="4">
        <v>39356</v>
      </c>
      <c r="B13" s="18">
        <f>VLOOKUP($A13,AvgMargWorker!$A$29:$O$136,15)</f>
        <v>0.40399218286014271</v>
      </c>
      <c r="C13">
        <f t="shared" si="0"/>
        <v>0</v>
      </c>
      <c r="D13">
        <f>IF(D$3=1,F13,H13)</f>
        <v>0</v>
      </c>
      <c r="E13">
        <f t="shared" si="3"/>
        <v>0</v>
      </c>
      <c r="F13" s="60">
        <v>0</v>
      </c>
      <c r="G13" s="60">
        <v>0</v>
      </c>
      <c r="H13" s="60">
        <v>0</v>
      </c>
      <c r="I13" s="60">
        <v>0</v>
      </c>
      <c r="K13" s="7">
        <f>B13*AvgMargWorker!$B$8</f>
        <v>1569.4266773633726</v>
      </c>
      <c r="M13" t="str">
        <f t="shared" si="1"/>
        <v>2007-Q4</v>
      </c>
    </row>
    <row r="14" spans="1:16">
      <c r="A14" s="4">
        <v>39448</v>
      </c>
      <c r="B14" s="18">
        <f>VLOOKUP($A14,AvgMargWorker!$A$29:$O$136,15)</f>
        <v>0.40573391059610736</v>
      </c>
      <c r="C14">
        <f t="shared" si="0"/>
        <v>2.9266019687518544E-3</v>
      </c>
      <c r="D14">
        <f t="shared" ref="D14:D29" si="4">IF(D$3=1,F14,H14)</f>
        <v>-8.8377004151198955E-3</v>
      </c>
      <c r="E14">
        <f t="shared" si="3"/>
        <v>3.8507434077257119E-4</v>
      </c>
      <c r="F14" s="60">
        <v>-8.8377004151198955E-3</v>
      </c>
      <c r="G14" s="60">
        <v>3.8507434077257119E-4</v>
      </c>
      <c r="H14" s="60">
        <v>-1.0139274260379985E-2</v>
      </c>
      <c r="I14" s="60">
        <v>-9.1649950448751804E-4</v>
      </c>
      <c r="K14" s="7">
        <f>B14*AvgMargWorker!$B$8</f>
        <v>1576.1929319828907</v>
      </c>
      <c r="M14" t="str">
        <f t="shared" si="1"/>
        <v>2008-Q1</v>
      </c>
    </row>
    <row r="15" spans="1:16">
      <c r="A15" s="4">
        <v>39539</v>
      </c>
      <c r="B15" s="18">
        <f>VLOOKUP($A15,AvgMargWorker!$A$29:$O$136,15)</f>
        <v>0.40654663907731386</v>
      </c>
      <c r="C15">
        <f t="shared" si="0"/>
        <v>4.2951551364753772E-3</v>
      </c>
      <c r="D15">
        <f t="shared" si="4"/>
        <v>5.6429150529337634E-3</v>
      </c>
      <c r="E15">
        <f t="shared" si="3"/>
        <v>-2.653639768117303E-3</v>
      </c>
      <c r="F15" s="60">
        <v>5.6429150529337634E-3</v>
      </c>
      <c r="G15" s="60">
        <v>-2.653639768117303E-3</v>
      </c>
      <c r="H15" s="60">
        <v>6.1753734453355233E-3</v>
      </c>
      <c r="I15" s="60">
        <v>-2.1211813757155422E-3</v>
      </c>
      <c r="K15" s="7">
        <f>B15*AvgMargWorker!$B$8</f>
        <v>1579.3502152521564</v>
      </c>
      <c r="M15" t="str">
        <f t="shared" si="1"/>
        <v>2008-Q2</v>
      </c>
    </row>
    <row r="16" spans="1:16">
      <c r="A16" s="4">
        <v>39630</v>
      </c>
      <c r="B16" s="18">
        <f>VLOOKUP($A16,AvgMargWorker!$A$29:$O$136,15)</f>
        <v>0.42739107051765562</v>
      </c>
      <c r="C16">
        <f t="shared" si="0"/>
        <v>4.00507958182666E-2</v>
      </c>
      <c r="D16">
        <f t="shared" si="4"/>
        <v>2.5686483261146482E-2</v>
      </c>
      <c r="E16">
        <f t="shared" si="3"/>
        <v>1.7482502765907668E-2</v>
      </c>
      <c r="F16" s="60">
        <v>2.5686483261146482E-2</v>
      </c>
      <c r="G16" s="60">
        <v>1.7482502765907668E-2</v>
      </c>
      <c r="H16" s="60">
        <v>3.0207553963985181E-2</v>
      </c>
      <c r="I16" s="60">
        <v>2.2003573468746367E-2</v>
      </c>
      <c r="K16" s="7">
        <f>B16*AvgMargWorker!$B$8</f>
        <v>1660.3265513419797</v>
      </c>
      <c r="M16" t="str">
        <f t="shared" si="1"/>
        <v>2008-Q3</v>
      </c>
    </row>
    <row r="17" spans="1:13">
      <c r="A17" s="4">
        <v>39722</v>
      </c>
      <c r="B17" s="18">
        <f>VLOOKUP($A17,AvgMargWorker!$A$29:$O$136,15)</f>
        <v>0.43564560009025927</v>
      </c>
      <c r="C17">
        <f t="shared" si="0"/>
        <v>5.4571360194362831E-2</v>
      </c>
      <c r="D17">
        <f t="shared" si="4"/>
        <v>4.7641148593472196E-2</v>
      </c>
      <c r="E17">
        <f t="shared" si="3"/>
        <v>6.852080656313056E-2</v>
      </c>
      <c r="F17" s="60">
        <v>4.7641148593472196E-2</v>
      </c>
      <c r="G17" s="60">
        <v>6.852080656313056E-2</v>
      </c>
      <c r="H17" s="60">
        <v>5.8851532811965326E-2</v>
      </c>
      <c r="I17" s="60">
        <v>7.973119078162369E-2</v>
      </c>
      <c r="K17" s="7">
        <f>B17*AvgMargWorker!$B$8</f>
        <v>1692.3937038017436</v>
      </c>
      <c r="M17" t="str">
        <f t="shared" si="1"/>
        <v>2008-Q4</v>
      </c>
    </row>
    <row r="18" spans="1:13">
      <c r="A18" s="4">
        <v>39814</v>
      </c>
      <c r="B18" s="18">
        <f>VLOOKUP($A18,AvgMargWorker!$A$29:$O$136,15)</f>
        <v>0.44229050207275811</v>
      </c>
      <c r="C18">
        <f t="shared" si="0"/>
        <v>6.6415569204132427E-2</v>
      </c>
      <c r="D18">
        <f t="shared" si="4"/>
        <v>8.5481733253075703E-2</v>
      </c>
      <c r="E18">
        <f t="shared" si="3"/>
        <v>0.10433772141692731</v>
      </c>
      <c r="F18" s="60">
        <v>8.5481733253075703E-2</v>
      </c>
      <c r="G18" s="60">
        <v>0.10433772141692731</v>
      </c>
      <c r="H18" s="60">
        <v>0.10484835407881064</v>
      </c>
      <c r="I18" s="60">
        <v>0.12370434224266225</v>
      </c>
      <c r="K18" s="7">
        <f>B18*AvgMargWorker!$B$8</f>
        <v>1718.207783584096</v>
      </c>
      <c r="M18" t="str">
        <f t="shared" si="1"/>
        <v>2009-Q1</v>
      </c>
    </row>
    <row r="19" spans="1:13">
      <c r="A19" s="4">
        <v>39904</v>
      </c>
      <c r="B19" s="18">
        <f>VLOOKUP($A19,AvgMargWorker!$A$29:$O$136,15)</f>
        <v>0.48140547696418107</v>
      </c>
      <c r="C19">
        <f t="shared" si="0"/>
        <v>0.13913147099405238</v>
      </c>
      <c r="D19">
        <f t="shared" si="4"/>
        <v>0.13110323272191421</v>
      </c>
      <c r="E19">
        <f t="shared" si="3"/>
        <v>0.14432390262433786</v>
      </c>
      <c r="F19" s="60">
        <v>0.13110323272191421</v>
      </c>
      <c r="G19" s="60">
        <v>0.14432390262433786</v>
      </c>
      <c r="H19" s="60">
        <v>0.15791749400483585</v>
      </c>
      <c r="I19" s="60">
        <v>0.17113816390725947</v>
      </c>
      <c r="K19" s="7">
        <f>B19*AvgMargWorker!$B$8</f>
        <v>1870.1614294303808</v>
      </c>
      <c r="M19" t="str">
        <f t="shared" si="1"/>
        <v>2009-Q2</v>
      </c>
    </row>
    <row r="20" spans="1:13">
      <c r="A20" s="4">
        <v>39995</v>
      </c>
      <c r="B20" s="18">
        <f>VLOOKUP($A20,AvgMargWorker!$A$29:$O$136,15)</f>
        <v>0.4832781768822037</v>
      </c>
      <c r="C20">
        <f t="shared" si="0"/>
        <v>0.14274911301693147</v>
      </c>
      <c r="D20">
        <f t="shared" si="4"/>
        <v>0.15260706720295186</v>
      </c>
      <c r="E20">
        <f t="shared" si="3"/>
        <v>0.15070226729840874</v>
      </c>
      <c r="F20" s="60">
        <v>0.15260706720295186</v>
      </c>
      <c r="G20" s="60">
        <v>0.15070226729840874</v>
      </c>
      <c r="H20" s="60">
        <v>0.18214777646661018</v>
      </c>
      <c r="I20" s="60">
        <v>0.18024297656206703</v>
      </c>
      <c r="K20" s="7">
        <f>B20*AvgMargWorker!$B$8</f>
        <v>1877.4364840842438</v>
      </c>
      <c r="M20" t="str">
        <f t="shared" si="1"/>
        <v>2009-Q3</v>
      </c>
    </row>
    <row r="21" spans="1:13">
      <c r="A21" s="4">
        <v>40087</v>
      </c>
      <c r="B21" s="18">
        <f>VLOOKUP($A21,AvgMargWorker!$A$29:$O$136,15)</f>
        <v>0.4840427253542931</v>
      </c>
      <c r="C21">
        <f t="shared" si="0"/>
        <v>0.14422982200665463</v>
      </c>
      <c r="D21">
        <f t="shared" si="4"/>
        <v>0.1672452715837113</v>
      </c>
      <c r="E21">
        <f t="shared" si="3"/>
        <v>0.15205385491944276</v>
      </c>
      <c r="F21" s="60">
        <v>0.1672452715837113</v>
      </c>
      <c r="G21" s="60">
        <v>0.15205385491944276</v>
      </c>
      <c r="H21" s="60">
        <v>0.198169141067574</v>
      </c>
      <c r="I21" s="60">
        <v>0.18297772440330545</v>
      </c>
      <c r="K21" s="7">
        <f>B21*AvgMargWorker!$B$8</f>
        <v>1880.4065979110499</v>
      </c>
      <c r="M21" t="str">
        <f t="shared" si="1"/>
        <v>2009-Q4</v>
      </c>
    </row>
    <row r="22" spans="1:13">
      <c r="A22" s="4">
        <v>40179</v>
      </c>
      <c r="B22" s="18">
        <f>VLOOKUP($A22,AvgMargWorker!$A$29:$O$136,15)</f>
        <v>0.48101357621934532</v>
      </c>
      <c r="C22">
        <f t="shared" si="0"/>
        <v>0.13837605858083346</v>
      </c>
      <c r="D22">
        <f t="shared" si="4"/>
        <v>0.17144571446267678</v>
      </c>
      <c r="E22">
        <f t="shared" si="3"/>
        <v>0.14814681556259496</v>
      </c>
      <c r="F22" s="60">
        <v>0.17144571446267678</v>
      </c>
      <c r="G22" s="60">
        <v>0.14814681556259496</v>
      </c>
      <c r="H22" s="60">
        <v>0.20156930679875201</v>
      </c>
      <c r="I22" s="60">
        <v>0.17827040789867019</v>
      </c>
      <c r="K22" s="7">
        <f>B22*AvgMargWorker!$B$8</f>
        <v>1868.6389755069674</v>
      </c>
      <c r="M22" t="str">
        <f t="shared" si="1"/>
        <v>2010-Q1</v>
      </c>
    </row>
    <row r="23" spans="1:13">
      <c r="A23" s="4">
        <v>40269</v>
      </c>
      <c r="B23" s="18">
        <f>VLOOKUP($A23,AvgMargWorker!$A$29:$O$136,15)</f>
        <v>0.47983124913176284</v>
      </c>
      <c r="C23">
        <f t="shared" si="0"/>
        <v>0.13610050315539668</v>
      </c>
      <c r="D23">
        <f t="shared" si="4"/>
        <v>0.15914059850450404</v>
      </c>
      <c r="E23">
        <f t="shared" si="3"/>
        <v>0.13933287899113392</v>
      </c>
      <c r="F23" s="60">
        <v>0.15914059850450404</v>
      </c>
      <c r="G23" s="60">
        <v>0.13933287899113392</v>
      </c>
      <c r="H23" s="60">
        <v>0.18667841757243542</v>
      </c>
      <c r="I23" s="60">
        <v>0.16687069805906529</v>
      </c>
      <c r="K23" s="7">
        <f>B23*AvgMargWorker!$B$8</f>
        <v>1864.0458775428326</v>
      </c>
      <c r="M23" t="str">
        <f t="shared" si="1"/>
        <v>2010-Q2</v>
      </c>
    </row>
    <row r="24" spans="1:13">
      <c r="A24" s="4">
        <v>40360</v>
      </c>
      <c r="B24" s="18">
        <f>VLOOKUP($A24,AvgMargWorker!$A$29:$O$136,15)</f>
        <v>0.47159422202656964</v>
      </c>
      <c r="C24">
        <f t="shared" si="0"/>
        <v>0.12038927554990091</v>
      </c>
      <c r="D24">
        <f t="shared" si="4"/>
        <v>0.16412474559362339</v>
      </c>
      <c r="E24">
        <f t="shared" si="3"/>
        <v>0.14345896456452323</v>
      </c>
      <c r="F24" s="60">
        <v>0.16412474559362339</v>
      </c>
      <c r="G24" s="60">
        <v>0.14345896456452323</v>
      </c>
      <c r="H24" s="60">
        <v>0.19213006989108955</v>
      </c>
      <c r="I24" s="60">
        <v>0.17146428886198942</v>
      </c>
      <c r="K24" s="7">
        <f>B24*AvgMargWorker!$B$8</f>
        <v>1832.0467185751188</v>
      </c>
      <c r="M24" t="str">
        <f t="shared" si="1"/>
        <v>2010-Q3</v>
      </c>
    </row>
    <row r="25" spans="1:13">
      <c r="A25" s="4">
        <v>40452</v>
      </c>
      <c r="B25" s="18">
        <f>VLOOKUP($A25,AvgMargWorker!$A$29:$O$136,15)</f>
        <v>0.46903212657845311</v>
      </c>
      <c r="C25">
        <f t="shared" si="0"/>
        <v>0.11555226560517574</v>
      </c>
      <c r="D25">
        <f t="shared" si="4"/>
        <v>0.15911911726162031</v>
      </c>
      <c r="E25">
        <f t="shared" si="3"/>
        <v>0.13138660958357451</v>
      </c>
      <c r="F25" s="60">
        <v>0.15911911726162031</v>
      </c>
      <c r="G25" s="60">
        <v>0.13138660958357451</v>
      </c>
      <c r="H25" s="60">
        <v>0.18578760716503823</v>
      </c>
      <c r="I25" s="60">
        <v>0.1580550994869924</v>
      </c>
      <c r="K25" s="7">
        <f>B25*AvgMargWorker!$B$8</f>
        <v>1822.0935038427008</v>
      </c>
      <c r="M25" t="str">
        <f t="shared" si="1"/>
        <v>2010-Q4</v>
      </c>
    </row>
    <row r="26" spans="1:13">
      <c r="A26" s="4">
        <v>40544</v>
      </c>
      <c r="B26" s="18">
        <f>VLOOKUP($A26,AvgMargWorker!$A$29:$O$136,15)</f>
        <v>0.44289876572904602</v>
      </c>
      <c r="C26">
        <f t="shared" si="0"/>
        <v>6.7506810432944236E-2</v>
      </c>
      <c r="D26">
        <f t="shared" si="4"/>
        <v>0.15146055555855564</v>
      </c>
      <c r="E26">
        <f t="shared" si="3"/>
        <v>0.12826757756536944</v>
      </c>
      <c r="F26" s="60">
        <v>0.15146055555855564</v>
      </c>
      <c r="G26" s="60">
        <v>0.12826757756536944</v>
      </c>
      <c r="H26" s="60">
        <v>0.1767151144541993</v>
      </c>
      <c r="I26" s="60">
        <v>0.15352213646101312</v>
      </c>
      <c r="K26" s="7">
        <f>B26*AvgMargWorker!$B$8</f>
        <v>1720.5707629919905</v>
      </c>
      <c r="M26" t="str">
        <f t="shared" si="1"/>
        <v>2011-Q1</v>
      </c>
    </row>
    <row r="27" spans="1:13">
      <c r="A27" s="4">
        <v>40634</v>
      </c>
      <c r="B27" s="18">
        <f>VLOOKUP($A27,AvgMargWorker!$A$29:$O$136,15)</f>
        <v>0.44256519002648048</v>
      </c>
      <c r="C27">
        <f t="shared" si="0"/>
        <v>6.6908219271629238E-2</v>
      </c>
      <c r="D27">
        <f t="shared" si="4"/>
        <v>0.14189245400170292</v>
      </c>
      <c r="E27">
        <f t="shared" si="3"/>
        <v>0.11302712735187002</v>
      </c>
      <c r="F27" s="60">
        <v>0.14189245400170292</v>
      </c>
      <c r="G27" s="60">
        <v>0.11302712735187002</v>
      </c>
      <c r="H27" s="60">
        <v>0.16523294004315167</v>
      </c>
      <c r="I27" s="60">
        <v>0.13636761339331877</v>
      </c>
      <c r="K27" s="7">
        <f>B27*AvgMargWorker!$B$8</f>
        <v>1719.2748898817233</v>
      </c>
      <c r="M27" t="str">
        <f t="shared" si="1"/>
        <v>2011-Q2</v>
      </c>
    </row>
    <row r="28" spans="1:13">
      <c r="A28" s="4">
        <v>40725</v>
      </c>
      <c r="B28" s="18">
        <f>VLOOKUP($A28,AvgMargWorker!$A$29:$O$136,15)</f>
        <v>0.44232992688562245</v>
      </c>
      <c r="C28">
        <f t="shared" si="0"/>
        <v>6.6486262291767101E-2</v>
      </c>
      <c r="D28">
        <f t="shared" si="4"/>
        <v>0.1445457560247238</v>
      </c>
      <c r="E28">
        <f t="shared" si="3"/>
        <v>0.11973820342936846</v>
      </c>
      <c r="F28" s="60">
        <v>0.1445457560247238</v>
      </c>
      <c r="G28" s="60">
        <v>0.11973820342936846</v>
      </c>
      <c r="H28" s="60">
        <v>0.16779326097292774</v>
      </c>
      <c r="I28" s="60">
        <v>0.14298570837757241</v>
      </c>
      <c r="K28" s="7">
        <f>B28*AvgMargWorker!$B$8</f>
        <v>1718.3609408868469</v>
      </c>
      <c r="M28" t="str">
        <f t="shared" si="1"/>
        <v>2011-Q3</v>
      </c>
    </row>
    <row r="29" spans="1:13">
      <c r="A29" s="4">
        <v>40817</v>
      </c>
      <c r="B29" s="18">
        <f>VLOOKUP($A29,AvgMargWorker!$A$29:$O$136,15)</f>
        <v>0.44244250109360928</v>
      </c>
      <c r="C29">
        <f t="shared" si="0"/>
        <v>6.6688147917971938E-2</v>
      </c>
      <c r="D29">
        <f t="shared" si="4"/>
        <v>0.14399531089692783</v>
      </c>
      <c r="E29">
        <f t="shared" si="3"/>
        <v>0.12120105538483794</v>
      </c>
      <c r="F29" s="60">
        <v>0.14399531089692783</v>
      </c>
      <c r="G29" s="60">
        <v>0.12120105538483794</v>
      </c>
      <c r="H29" s="60">
        <v>0.16603526165535681</v>
      </c>
      <c r="I29" s="60">
        <v>0.1432410061432669</v>
      </c>
      <c r="K29" s="7">
        <f>B29*AvgMargWorker!$B$8</f>
        <v>1718.7982685696422</v>
      </c>
      <c r="M29" t="str">
        <f t="shared" si="1"/>
        <v>2011-Q4</v>
      </c>
    </row>
  </sheetData>
  <mergeCells count="3">
    <mergeCell ref="F3:G3"/>
    <mergeCell ref="H3:I3"/>
    <mergeCell ref="F5:I5"/>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E40"/>
  <sheetViews>
    <sheetView showGridLines="0" workbookViewId="0"/>
  </sheetViews>
  <sheetFormatPr defaultRowHeight="15"/>
  <cols>
    <col min="1" max="1" width="3.7109375" customWidth="1"/>
    <col min="2" max="2" width="44.5703125" bestFit="1" customWidth="1"/>
    <col min="3" max="5" width="12.7109375" customWidth="1"/>
  </cols>
  <sheetData>
    <row r="1" spans="1:5" ht="18.75">
      <c r="A1" s="25" t="str">
        <f>"Table "&amp;B2&amp;".  Self-Reliance Rate Changes: Sensitivity Analysis"</f>
        <v>Table 3.8.  Self-Reliance Rate Changes: Sensitivity Analysis</v>
      </c>
      <c r="B1" s="26"/>
      <c r="C1" s="26"/>
      <c r="D1" s="26"/>
      <c r="E1" s="26"/>
    </row>
    <row r="2" spans="1:5" ht="18.75" hidden="1">
      <c r="A2" s="26" t="s">
        <v>85</v>
      </c>
      <c r="B2" s="71" t="s">
        <v>365</v>
      </c>
      <c r="C2" s="26"/>
      <c r="D2" s="26"/>
      <c r="E2" s="26"/>
    </row>
    <row r="3" spans="1:5" ht="18.75">
      <c r="A3" s="26"/>
      <c r="B3" s="71"/>
      <c r="C3" s="26"/>
      <c r="D3" s="26"/>
      <c r="E3" s="26"/>
    </row>
    <row r="4" spans="1:5" ht="18.75">
      <c r="A4" s="26"/>
      <c r="B4" s="26"/>
      <c r="C4" s="92" t="s">
        <v>366</v>
      </c>
      <c r="D4" s="92"/>
      <c r="E4" s="92"/>
    </row>
    <row r="5" spans="1:5" ht="18.75">
      <c r="A5" s="26"/>
      <c r="B5" s="26"/>
      <c r="C5" s="29" t="s">
        <v>367</v>
      </c>
      <c r="D5" s="29" t="s">
        <v>368</v>
      </c>
      <c r="E5" s="29" t="s">
        <v>369</v>
      </c>
    </row>
    <row r="6" spans="1:5" ht="18.75">
      <c r="A6" s="26" t="s">
        <v>370</v>
      </c>
      <c r="B6" s="26"/>
      <c r="C6" s="31">
        <v>-5.4653088886992898E-2</v>
      </c>
      <c r="D6" s="31">
        <v>-0.14474167007789976</v>
      </c>
      <c r="E6" s="31">
        <v>-0.11648068763298754</v>
      </c>
    </row>
    <row r="7" spans="1:5" ht="18.75">
      <c r="A7" s="26"/>
      <c r="B7" s="26"/>
      <c r="C7" s="31"/>
      <c r="D7" s="31"/>
      <c r="E7" s="31"/>
    </row>
    <row r="8" spans="1:5" ht="18.75">
      <c r="A8" s="26" t="s">
        <v>371</v>
      </c>
      <c r="B8" s="26"/>
      <c r="C8" s="26"/>
      <c r="D8" s="26"/>
      <c r="E8" s="26"/>
    </row>
    <row r="9" spans="1:5" ht="18.75">
      <c r="A9" s="26"/>
      <c r="B9" s="71" t="s">
        <v>372</v>
      </c>
      <c r="C9" s="31">
        <v>-5.9806602685535122E-2</v>
      </c>
      <c r="D9" s="31">
        <v>-0.1590953857017042</v>
      </c>
      <c r="E9" s="31">
        <v>-0.12784930165951769</v>
      </c>
    </row>
    <row r="10" spans="1:5" ht="18.75">
      <c r="A10" s="26"/>
      <c r="B10" s="71" t="s">
        <v>373</v>
      </c>
      <c r="C10" s="31">
        <v>-5.031744023165529E-2</v>
      </c>
      <c r="D10" s="31">
        <v>-0.13276711453025475</v>
      </c>
      <c r="E10" s="31">
        <v>-0.1069705782909007</v>
      </c>
    </row>
    <row r="11" spans="1:5" ht="22.5">
      <c r="A11" s="26" t="s">
        <v>374</v>
      </c>
      <c r="B11" s="26"/>
      <c r="C11" s="31"/>
      <c r="D11" s="31"/>
      <c r="E11" s="31"/>
    </row>
    <row r="12" spans="1:5" ht="18.75">
      <c r="A12" s="26"/>
      <c r="B12" s="71" t="s">
        <v>372</v>
      </c>
      <c r="C12" s="31">
        <v>-5.4653088886992898E-2</v>
      </c>
      <c r="D12" s="31">
        <v>-0.15122866107549918</v>
      </c>
      <c r="E12" s="31">
        <v>-0.11861345764093366</v>
      </c>
    </row>
    <row r="13" spans="1:5" ht="18.75">
      <c r="A13" s="26"/>
      <c r="B13" s="71" t="s">
        <v>373</v>
      </c>
      <c r="C13" s="31">
        <v>-5.4653088886992898E-2</v>
      </c>
      <c r="D13" s="31">
        <v>-0.13829648905723146</v>
      </c>
      <c r="E13" s="31">
        <v>-0.11435245665396061</v>
      </c>
    </row>
    <row r="14" spans="1:5" ht="18.75">
      <c r="A14" s="26" t="s">
        <v>375</v>
      </c>
      <c r="B14" s="71"/>
      <c r="C14" s="31"/>
      <c r="D14" s="31"/>
      <c r="E14" s="31"/>
    </row>
    <row r="15" spans="1:5" ht="18.75">
      <c r="A15" s="26"/>
      <c r="B15" s="71" t="s">
        <v>376</v>
      </c>
      <c r="C15" s="31">
        <v>-5.2948816954506019E-2</v>
      </c>
      <c r="D15" s="31">
        <v>-0.13837627043134793</v>
      </c>
      <c r="E15" s="31">
        <v>-0.11113337874433879</v>
      </c>
    </row>
    <row r="16" spans="1:5" ht="18.75">
      <c r="A16" s="26"/>
      <c r="B16" s="71" t="s">
        <v>377</v>
      </c>
      <c r="C16" s="31">
        <v>-5.1347643567093093E-2</v>
      </c>
      <c r="D16" s="31">
        <v>-0.13242283018412368</v>
      </c>
      <c r="E16" s="31">
        <v>-0.106127223153444</v>
      </c>
    </row>
    <row r="17" spans="1:5" ht="18.75">
      <c r="A17" s="26" t="s">
        <v>378</v>
      </c>
      <c r="B17" s="26"/>
      <c r="C17" s="82"/>
      <c r="D17" s="31"/>
      <c r="E17" s="31"/>
    </row>
    <row r="18" spans="1:5" ht="18.75">
      <c r="A18" s="26"/>
      <c r="B18" s="26" t="s">
        <v>379</v>
      </c>
      <c r="C18" s="31">
        <v>-4.5357770839844373E-2</v>
      </c>
      <c r="D18" s="31">
        <v>-0.12902052620350385</v>
      </c>
      <c r="E18" s="31">
        <v>-0.10330200584963374</v>
      </c>
    </row>
    <row r="19" spans="1:5" ht="18.75">
      <c r="A19" s="26"/>
      <c r="B19" s="26" t="s">
        <v>380</v>
      </c>
      <c r="C19" s="31">
        <v>-6.2087711548056562E-2</v>
      </c>
      <c r="D19" s="31">
        <v>-0.15472906611761683</v>
      </c>
      <c r="E19" s="31">
        <v>-0.12513622302710045</v>
      </c>
    </row>
    <row r="20" spans="1:5" ht="18.75">
      <c r="A20" s="26" t="s">
        <v>94</v>
      </c>
      <c r="B20" s="26"/>
      <c r="C20" s="31"/>
      <c r="D20" s="31"/>
      <c r="E20" s="31"/>
    </row>
    <row r="21" spans="1:5" ht="18.75">
      <c r="A21" s="26"/>
      <c r="B21" s="26" t="s">
        <v>381</v>
      </c>
      <c r="C21" s="31">
        <v>-5.5355878787638216E-2</v>
      </c>
      <c r="D21" s="31">
        <v>-0.14747126469985958</v>
      </c>
      <c r="E21" s="31">
        <v>-0.1220717371582765</v>
      </c>
    </row>
    <row r="22" spans="1:5" ht="18.75">
      <c r="A22" s="26"/>
      <c r="B22" s="26" t="s">
        <v>382</v>
      </c>
      <c r="C22" s="31">
        <v>-5.3870566379537597E-2</v>
      </c>
      <c r="D22" s="31">
        <v>-0.14170889153770147</v>
      </c>
      <c r="E22" s="31">
        <v>-0.11028730213499538</v>
      </c>
    </row>
    <row r="23" spans="1:5" ht="22.5">
      <c r="A23" s="26"/>
      <c r="B23" s="26" t="s">
        <v>383</v>
      </c>
      <c r="C23" s="31">
        <v>-4.3902610709848716E-2</v>
      </c>
      <c r="D23" s="31">
        <v>-0.11782905929524032</v>
      </c>
      <c r="E23" s="31">
        <v>-8.483663555859422E-2</v>
      </c>
    </row>
    <row r="24" spans="1:5" ht="18.75">
      <c r="A24" s="26" t="s">
        <v>384</v>
      </c>
      <c r="B24" s="26"/>
      <c r="C24" s="31"/>
      <c r="D24" s="31"/>
      <c r="E24" s="31"/>
    </row>
    <row r="25" spans="1:5" ht="18.75">
      <c r="A25" s="26"/>
      <c r="B25" s="26" t="s">
        <v>385</v>
      </c>
      <c r="C25" s="31">
        <v>-4.6865194836070073E-2</v>
      </c>
      <c r="D25" s="31">
        <v>-0.12163720312204429</v>
      </c>
      <c r="E25" s="31">
        <v>-9.9760017087587138E-2</v>
      </c>
    </row>
    <row r="26" spans="1:5" ht="18.75">
      <c r="A26" s="26"/>
      <c r="B26" s="26" t="s">
        <v>386</v>
      </c>
      <c r="C26" s="31">
        <v>-4.6734876850260156E-2</v>
      </c>
      <c r="D26" s="31">
        <v>-0.1212988016734619</v>
      </c>
      <c r="E26" s="31">
        <v>-9.9634535658162507E-2</v>
      </c>
    </row>
    <row r="27" spans="1:5" ht="18.75">
      <c r="A27" s="26" t="s">
        <v>387</v>
      </c>
      <c r="B27" s="26"/>
      <c r="C27" s="31"/>
      <c r="D27" s="31"/>
      <c r="E27" s="31"/>
    </row>
    <row r="28" spans="1:5" ht="18.75">
      <c r="A28" s="26"/>
      <c r="B28" s="26" t="s">
        <v>388</v>
      </c>
      <c r="C28" s="31">
        <v>-5.4653088886992898E-2</v>
      </c>
      <c r="D28" s="31">
        <v>-0.13458663192224632</v>
      </c>
      <c r="E28" s="31">
        <v>-0.11648068763298754</v>
      </c>
    </row>
    <row r="29" spans="1:5" ht="18.75">
      <c r="A29" s="26"/>
      <c r="B29" s="26" t="s">
        <v>389</v>
      </c>
      <c r="C29" s="31">
        <v>-5.2890259603587141E-2</v>
      </c>
      <c r="D29" s="31">
        <v>-0.14054047678128864</v>
      </c>
      <c r="E29" s="31">
        <v>-0.11316529188002766</v>
      </c>
    </row>
    <row r="30" spans="1:5" ht="22.5">
      <c r="A30" s="26" t="s">
        <v>390</v>
      </c>
      <c r="B30" s="26"/>
      <c r="C30" s="31"/>
      <c r="D30" s="31"/>
      <c r="E30" s="31"/>
    </row>
    <row r="31" spans="1:5" ht="18.75">
      <c r="A31" s="26"/>
      <c r="B31" s="26" t="s">
        <v>391</v>
      </c>
      <c r="C31" s="31">
        <v>-4.0136487827362947E-2</v>
      </c>
      <c r="D31" s="31">
        <v>-5.2763945908626646E-2</v>
      </c>
      <c r="E31" s="31">
        <v>-5.6290449348013347E-2</v>
      </c>
    </row>
    <row r="32" spans="1:5" ht="18.75">
      <c r="A32" s="26"/>
      <c r="B32" s="26" t="s">
        <v>392</v>
      </c>
      <c r="C32" s="31">
        <v>-3.9691854266451568E-2</v>
      </c>
      <c r="D32" s="31">
        <v>-3.9691854266451568E-2</v>
      </c>
      <c r="E32" s="31">
        <v>-3.9691854266451568E-2</v>
      </c>
    </row>
    <row r="33" spans="1:5">
      <c r="C33" s="18"/>
      <c r="D33" s="18"/>
      <c r="E33" s="18"/>
    </row>
    <row r="34" spans="1:5" ht="15.75">
      <c r="A34" s="72" t="s">
        <v>393</v>
      </c>
      <c r="B34" s="73"/>
      <c r="C34" s="74"/>
      <c r="D34" s="74"/>
      <c r="E34" s="74"/>
    </row>
    <row r="35" spans="1:5" ht="18.75">
      <c r="A35" s="73" t="s">
        <v>394</v>
      </c>
      <c r="B35" s="73"/>
      <c r="C35" s="74"/>
      <c r="D35" s="74"/>
      <c r="E35" s="74"/>
    </row>
    <row r="36" spans="1:5" ht="18.75" customHeight="1">
      <c r="A36" s="93" t="s">
        <v>395</v>
      </c>
      <c r="B36" s="93"/>
      <c r="C36" s="93"/>
      <c r="D36" s="93"/>
      <c r="E36" s="93"/>
    </row>
    <row r="37" spans="1:5" ht="15" customHeight="1">
      <c r="A37" s="93" t="s">
        <v>396</v>
      </c>
      <c r="B37" s="93"/>
      <c r="C37" s="93"/>
      <c r="D37" s="93"/>
      <c r="E37" s="93"/>
    </row>
    <row r="38" spans="1:5">
      <c r="A38" s="93"/>
      <c r="B38" s="93"/>
      <c r="C38" s="93"/>
      <c r="D38" s="93"/>
      <c r="E38" s="93"/>
    </row>
    <row r="39" spans="1:5">
      <c r="A39" s="75"/>
      <c r="B39" s="75"/>
      <c r="C39" s="75"/>
      <c r="D39" s="75"/>
      <c r="E39" s="75"/>
    </row>
    <row r="40" spans="1:5" hidden="1">
      <c r="C40" s="18">
        <f>-Quarterly!$C$17</f>
        <v>-5.4571360194362831E-2</v>
      </c>
      <c r="D40" s="18">
        <f>-Quarterly!$C$21</f>
        <v>-0.14422982200665463</v>
      </c>
      <c r="E40" s="18">
        <f>-Quarterly!$C$25</f>
        <v>-0.11555226560517574</v>
      </c>
    </row>
  </sheetData>
  <mergeCells count="3">
    <mergeCell ref="C4:E4"/>
    <mergeCell ref="A36:E36"/>
    <mergeCell ref="A37:E38"/>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dimension ref="A1:M95"/>
  <sheetViews>
    <sheetView showGridLines="0" workbookViewId="0"/>
  </sheetViews>
  <sheetFormatPr defaultRowHeight="15"/>
  <cols>
    <col min="1" max="1" width="7.5703125" customWidth="1"/>
    <col min="2" max="2" width="5.5703125" customWidth="1"/>
    <col min="3" max="3" width="7.140625" customWidth="1"/>
    <col min="4" max="4" width="5.5703125" customWidth="1"/>
    <col min="5" max="5" width="7.140625" customWidth="1"/>
    <col min="6" max="6" width="10.140625" customWidth="1"/>
    <col min="7" max="7" width="3.7109375" customWidth="1"/>
    <col min="8" max="8" width="7.5703125" customWidth="1"/>
    <col min="9" max="9" width="5.5703125" customWidth="1"/>
    <col min="10" max="10" width="7.140625" customWidth="1"/>
    <col min="11" max="11" width="5.5703125" customWidth="1"/>
    <col min="12" max="12" width="7.140625" customWidth="1"/>
    <col min="13" max="13" width="10.140625" bestFit="1" customWidth="1"/>
  </cols>
  <sheetData>
    <row r="1" spans="1:13" ht="18.75">
      <c r="A1" s="25" t="str">
        <f>A3&amp;" "&amp;B3&amp;".  Overall Safety Net Generosity, 2010 $ per Month,"</f>
        <v>Table 3.9.  Overall Safety Net Generosity, 2010 $ per Month,</v>
      </c>
    </row>
    <row r="2" spans="1:13" ht="18.75">
      <c r="A2" s="25" t="s">
        <v>327</v>
      </c>
    </row>
    <row r="3" spans="1:13" hidden="1">
      <c r="A3" t="s">
        <v>85</v>
      </c>
      <c r="B3">
        <v>3.9</v>
      </c>
    </row>
    <row r="5" spans="1:13">
      <c r="A5" s="95" t="s">
        <v>328</v>
      </c>
      <c r="B5" s="95"/>
      <c r="C5" s="95"/>
      <c r="D5" s="95"/>
      <c r="E5" s="95"/>
      <c r="F5" s="95"/>
      <c r="G5" s="95"/>
      <c r="H5" s="95"/>
      <c r="I5" s="95"/>
      <c r="J5" s="95"/>
      <c r="K5" s="95"/>
      <c r="L5" s="95"/>
      <c r="M5" s="95"/>
    </row>
    <row r="6" spans="1:13">
      <c r="B6" s="91" t="s">
        <v>260</v>
      </c>
      <c r="C6" s="91"/>
      <c r="D6" s="91" t="s">
        <v>94</v>
      </c>
      <c r="E6" s="91"/>
      <c r="F6" s="63" t="s">
        <v>329</v>
      </c>
      <c r="I6" s="91" t="s">
        <v>260</v>
      </c>
      <c r="J6" s="91"/>
      <c r="K6" s="91" t="s">
        <v>94</v>
      </c>
      <c r="L6" s="91"/>
      <c r="M6" s="63" t="s">
        <v>329</v>
      </c>
    </row>
    <row r="7" spans="1:13">
      <c r="A7" s="66" t="s">
        <v>330</v>
      </c>
      <c r="B7" s="66" t="s">
        <v>331</v>
      </c>
      <c r="C7" s="66" t="s">
        <v>332</v>
      </c>
      <c r="D7" s="66" t="s">
        <v>331</v>
      </c>
      <c r="E7" s="66" t="s">
        <v>332</v>
      </c>
      <c r="F7" s="67" t="s">
        <v>333</v>
      </c>
      <c r="G7" s="68"/>
      <c r="H7" s="66" t="s">
        <v>330</v>
      </c>
      <c r="I7" s="66" t="s">
        <v>331</v>
      </c>
      <c r="J7" s="66" t="s">
        <v>332</v>
      </c>
      <c r="K7" s="66" t="s">
        <v>331</v>
      </c>
      <c r="L7" s="66" t="s">
        <v>332</v>
      </c>
      <c r="M7" s="67" t="s">
        <v>333</v>
      </c>
    </row>
    <row r="8" spans="1:13">
      <c r="A8" s="4">
        <f>UIElg!A29</f>
        <v>38718</v>
      </c>
      <c r="B8" s="8">
        <f>UIElg!K29</f>
        <v>0.67985009157916287</v>
      </c>
      <c r="C8" s="7">
        <f>UIBen!K29</f>
        <v>1169.0249999999999</v>
      </c>
      <c r="D8" s="8">
        <f>SNAPElg!K29</f>
        <v>0.80534756061573964</v>
      </c>
      <c r="E8" s="7">
        <f>SNAPBen!K29</f>
        <v>243.3240507913917</v>
      </c>
      <c r="F8" s="7">
        <f>AvgMargWorker!K29</f>
        <v>1556.4432617881</v>
      </c>
      <c r="H8" s="4">
        <f>UIElg!A65</f>
        <v>39814</v>
      </c>
      <c r="I8" s="8">
        <f>UIElg!K65</f>
        <v>0.93510516883586092</v>
      </c>
      <c r="J8" s="7">
        <f>UIBen!K65</f>
        <v>1169.0249999999999</v>
      </c>
      <c r="K8" s="8">
        <f>SNAPElg!K65</f>
        <v>0.88980820026087737</v>
      </c>
      <c r="L8" s="7">
        <f>SNAPBen!K65</f>
        <v>278.02662666140463</v>
      </c>
      <c r="M8" s="7">
        <f>AvgMargWorker!K65</f>
        <v>1718.3553147965995</v>
      </c>
    </row>
    <row r="9" spans="1:13">
      <c r="A9" s="4">
        <f>UIElg!A30</f>
        <v>38749</v>
      </c>
      <c r="B9" s="8">
        <f>UIElg!K30</f>
        <v>0.67985009157916287</v>
      </c>
      <c r="C9" s="7">
        <f>UIBen!K30</f>
        <v>1169.0249999999999</v>
      </c>
      <c r="D9" s="8">
        <f>SNAPElg!K30</f>
        <v>0.80534756061573964</v>
      </c>
      <c r="E9" s="7">
        <f>SNAPBen!K30</f>
        <v>243.22840078518414</v>
      </c>
      <c r="F9" s="7">
        <f>AvgMargWorker!K30</f>
        <v>1556.4056308377512</v>
      </c>
      <c r="H9" s="4">
        <f>UIElg!A66</f>
        <v>39845</v>
      </c>
      <c r="I9" s="8">
        <f>UIElg!K66</f>
        <v>0.93510516883586092</v>
      </c>
      <c r="J9" s="7">
        <f>UIBen!K66</f>
        <v>1169.0249999999999</v>
      </c>
      <c r="K9" s="8">
        <f>SNAPElg!K66</f>
        <v>0.88980820026087737</v>
      </c>
      <c r="L9" s="7">
        <f>SNAPBen!K66</f>
        <v>277.20794266017703</v>
      </c>
      <c r="M9" s="7">
        <f>AvgMargWorker!K66</f>
        <v>1717.9994463001128</v>
      </c>
    </row>
    <row r="10" spans="1:13">
      <c r="A10" s="4">
        <f>UIElg!A31</f>
        <v>38777</v>
      </c>
      <c r="B10" s="8">
        <f>UIElg!K31</f>
        <v>0.67985009157916287</v>
      </c>
      <c r="C10" s="7">
        <f>UIBen!K31</f>
        <v>1169.0249999999999</v>
      </c>
      <c r="D10" s="8">
        <f>SNAPElg!K31</f>
        <v>0.80534756061573964</v>
      </c>
      <c r="E10" s="7">
        <f>SNAPBen!K31</f>
        <v>242.86323239652236</v>
      </c>
      <c r="F10" s="7">
        <f>AvgMargWorker!K31</f>
        <v>1556.2619650498693</v>
      </c>
      <c r="H10" s="4">
        <f>UIElg!A67</f>
        <v>39873</v>
      </c>
      <c r="I10" s="8">
        <f>UIElg!K67</f>
        <v>0.93510516883586092</v>
      </c>
      <c r="J10" s="7">
        <f>UIBen!K67</f>
        <v>1169.0249999999999</v>
      </c>
      <c r="K10" s="8">
        <f>SNAPElg!K67</f>
        <v>0.89098893832320969</v>
      </c>
      <c r="L10" s="7">
        <f>SNAPBen!K67</f>
        <v>277.45893705552697</v>
      </c>
      <c r="M10" s="7">
        <f>AvgMargWorker!K67</f>
        <v>1718.2685896555759</v>
      </c>
    </row>
    <row r="11" spans="1:13">
      <c r="A11" s="4">
        <f>UIElg!A32</f>
        <v>38808</v>
      </c>
      <c r="B11" s="8">
        <f>UIElg!K32</f>
        <v>0.67985009157916287</v>
      </c>
      <c r="C11" s="7">
        <f>UIBen!K32</f>
        <v>1169.0249999999999</v>
      </c>
      <c r="D11" s="8">
        <f>SNAPElg!K32</f>
        <v>0.80534756061573964</v>
      </c>
      <c r="E11" s="7">
        <f>SNAPBen!K32</f>
        <v>241.90188195454385</v>
      </c>
      <c r="F11" s="7">
        <f>AvgMargWorker!K32</f>
        <v>1556.3666941731003</v>
      </c>
      <c r="H11" s="4">
        <f>UIElg!A68</f>
        <v>39904</v>
      </c>
      <c r="I11" s="8">
        <f>UIElg!K68</f>
        <v>0.97924742634443396</v>
      </c>
      <c r="J11" s="7">
        <f>UIBen!K68</f>
        <v>1477.8199353686211</v>
      </c>
      <c r="K11" s="8">
        <f>SNAPElg!K68</f>
        <v>0.8954677963100246</v>
      </c>
      <c r="L11" s="7">
        <f>SNAPBen!K68</f>
        <v>322.95543447400786</v>
      </c>
      <c r="M11" s="7">
        <f>AvgMargWorker!K68</f>
        <v>1870.0323041129925</v>
      </c>
    </row>
    <row r="12" spans="1:13">
      <c r="A12" s="4">
        <f>UIElg!A33</f>
        <v>38838</v>
      </c>
      <c r="B12" s="8">
        <f>UIElg!K33</f>
        <v>0.67985009157916287</v>
      </c>
      <c r="C12" s="7">
        <f>UIBen!K33</f>
        <v>1169.0249999999999</v>
      </c>
      <c r="D12" s="8">
        <f>SNAPElg!K33</f>
        <v>0.80534756061573964</v>
      </c>
      <c r="E12" s="7">
        <f>SNAPBen!K33</f>
        <v>241.30048211737656</v>
      </c>
      <c r="F12" s="7">
        <f>AvgMargWorker!K33</f>
        <v>1556.1300894063097</v>
      </c>
      <c r="H12" s="4">
        <f>UIElg!A69</f>
        <v>39934</v>
      </c>
      <c r="I12" s="8">
        <f>UIElg!K69</f>
        <v>0.97924742634443396</v>
      </c>
      <c r="J12" s="7">
        <f>UIBen!K69</f>
        <v>1477.8199353686211</v>
      </c>
      <c r="K12" s="8">
        <f>SNAPElg!K69</f>
        <v>0.89703883195929068</v>
      </c>
      <c r="L12" s="7">
        <f>SNAPBen!K69</f>
        <v>322.54786154436778</v>
      </c>
      <c r="M12" s="7">
        <f>AvgMargWorker!K69</f>
        <v>1870.101558641079</v>
      </c>
    </row>
    <row r="13" spans="1:13">
      <c r="A13" s="4">
        <f>UIElg!A34</f>
        <v>38869</v>
      </c>
      <c r="B13" s="8">
        <f>UIElg!K34</f>
        <v>0.67985009157916287</v>
      </c>
      <c r="C13" s="7">
        <f>UIBen!K34</f>
        <v>1169.0249999999999</v>
      </c>
      <c r="D13" s="8">
        <f>SNAPElg!K34</f>
        <v>0.80534756061573964</v>
      </c>
      <c r="E13" s="7">
        <f>SNAPBen!K34</f>
        <v>240.84963313219217</v>
      </c>
      <c r="F13" s="7">
        <f>AvgMargWorker!K34</f>
        <v>1555.9527148671013</v>
      </c>
      <c r="H13" s="4">
        <f>UIElg!A70</f>
        <v>39965</v>
      </c>
      <c r="I13" s="8">
        <f>UIElg!K70</f>
        <v>0.97924742634443396</v>
      </c>
      <c r="J13" s="7">
        <f>UIBen!K70</f>
        <v>1477.8199353686211</v>
      </c>
      <c r="K13" s="8">
        <f>SNAPElg!K70</f>
        <v>0.90338628640873342</v>
      </c>
      <c r="L13" s="7">
        <f>SNAPBen!K70</f>
        <v>320.8454656764859</v>
      </c>
      <c r="M13" s="7">
        <f>AvgMargWorker!K70</f>
        <v>1870.3504255370713</v>
      </c>
    </row>
    <row r="14" spans="1:13">
      <c r="A14" s="4">
        <f>UIElg!A35</f>
        <v>38899</v>
      </c>
      <c r="B14" s="8">
        <f>UIElg!K35</f>
        <v>0.67985009157916287</v>
      </c>
      <c r="C14" s="7">
        <f>UIBen!K35</f>
        <v>1169.0249999999999</v>
      </c>
      <c r="D14" s="8">
        <f>SNAPElg!K35</f>
        <v>0.80534756061573964</v>
      </c>
      <c r="E14" s="7">
        <f>SNAPBen!K35</f>
        <v>240.08098894458431</v>
      </c>
      <c r="F14" s="7">
        <f>AvgMargWorker!K35</f>
        <v>1555.8112945530788</v>
      </c>
      <c r="H14" s="4">
        <f>UIElg!A71</f>
        <v>39995</v>
      </c>
      <c r="I14" s="8">
        <f>UIElg!K71</f>
        <v>0.97924742634443396</v>
      </c>
      <c r="J14" s="7">
        <f>UIBen!K71</f>
        <v>1477.8199353686211</v>
      </c>
      <c r="K14" s="8">
        <f>SNAPElg!K71</f>
        <v>0.95210925522163836</v>
      </c>
      <c r="L14" s="7">
        <f>SNAPBen!K71</f>
        <v>320.56347861531219</v>
      </c>
      <c r="M14" s="7">
        <f>AvgMargWorker!K71</f>
        <v>1876.2461584832627</v>
      </c>
    </row>
    <row r="15" spans="1:13">
      <c r="A15" s="4">
        <f>UIElg!A36</f>
        <v>38930</v>
      </c>
      <c r="B15" s="8">
        <f>UIElg!K36</f>
        <v>0.67985009157916287</v>
      </c>
      <c r="C15" s="7">
        <f>UIBen!K36</f>
        <v>1169.0249999999999</v>
      </c>
      <c r="D15" s="8">
        <f>SNAPElg!K36</f>
        <v>0.80534756061573964</v>
      </c>
      <c r="E15" s="7">
        <f>SNAPBen!K36</f>
        <v>239.15536095910866</v>
      </c>
      <c r="F15" s="7">
        <f>AvgMargWorker!K36</f>
        <v>1555.4471308468333</v>
      </c>
      <c r="H15" s="4">
        <f>UIElg!A72</f>
        <v>40026</v>
      </c>
      <c r="I15" s="8">
        <f>UIElg!K72</f>
        <v>0.97924742634443396</v>
      </c>
      <c r="J15" s="7">
        <f>UIBen!K72</f>
        <v>1477.8199353686211</v>
      </c>
      <c r="K15" s="8">
        <f>SNAPElg!K72</f>
        <v>0.96726789175683392</v>
      </c>
      <c r="L15" s="7">
        <f>SNAPBen!K72</f>
        <v>319.59500005177011</v>
      </c>
      <c r="M15" s="7">
        <f>AvgMargWorker!K72</f>
        <v>1878.1623670717818</v>
      </c>
    </row>
    <row r="16" spans="1:13">
      <c r="A16" s="4">
        <f>UIElg!A37</f>
        <v>38961</v>
      </c>
      <c r="B16" s="8">
        <f>UIElg!K37</f>
        <v>0.67985009157916287</v>
      </c>
      <c r="C16" s="7">
        <f>UIBen!K37</f>
        <v>1169.0249999999999</v>
      </c>
      <c r="D16" s="8">
        <f>SNAPElg!K37</f>
        <v>0.80534756061573964</v>
      </c>
      <c r="E16" s="7">
        <f>SNAPBen!K37</f>
        <v>239.64164205983016</v>
      </c>
      <c r="F16" s="7">
        <f>AvgMargWorker!K37</f>
        <v>1555.638445209293</v>
      </c>
      <c r="H16" s="4">
        <f>UIElg!A73</f>
        <v>40057</v>
      </c>
      <c r="I16" s="8">
        <f>UIElg!K73</f>
        <v>0.97924742634443396</v>
      </c>
      <c r="J16" s="7">
        <f>UIBen!K73</f>
        <v>1477.8199353686211</v>
      </c>
      <c r="K16" s="8">
        <f>SNAPElg!K73</f>
        <v>0.96726789175683392</v>
      </c>
      <c r="L16" s="7">
        <f>SNAPBen!K73</f>
        <v>319.04171485805864</v>
      </c>
      <c r="M16" s="7">
        <f>AvgMargWorker!K73</f>
        <v>1877.9009266976871</v>
      </c>
    </row>
    <row r="17" spans="1:13">
      <c r="A17" s="4">
        <f>UIElg!A38</f>
        <v>38991</v>
      </c>
      <c r="B17" s="8">
        <f>UIElg!K38</f>
        <v>0.67985009157916287</v>
      </c>
      <c r="C17" s="7">
        <f>UIBen!K38</f>
        <v>1169.0249999999999</v>
      </c>
      <c r="D17" s="8">
        <f>SNAPElg!K38</f>
        <v>0.80534756061573964</v>
      </c>
      <c r="E17" s="7">
        <f>SNAPBen!K38</f>
        <v>246.90505625375135</v>
      </c>
      <c r="F17" s="7">
        <f>AvgMargWorker!K38</f>
        <v>1559.1399714669174</v>
      </c>
      <c r="H17" s="4">
        <f>UIElg!A74</f>
        <v>40087</v>
      </c>
      <c r="I17" s="8">
        <f>UIElg!K74</f>
        <v>0.97924742634443396</v>
      </c>
      <c r="J17" s="7">
        <f>UIBen!K74</f>
        <v>1477.8199353686211</v>
      </c>
      <c r="K17" s="8">
        <f>SNAPElg!K74</f>
        <v>0.96726789175683392</v>
      </c>
      <c r="L17" s="7">
        <f>SNAPBen!K74</f>
        <v>318.02461563175569</v>
      </c>
      <c r="M17" s="7">
        <f>AvgMargWorker!K74</f>
        <v>1876.1324648490056</v>
      </c>
    </row>
    <row r="18" spans="1:13">
      <c r="A18" s="4">
        <f>UIElg!A39</f>
        <v>39022</v>
      </c>
      <c r="B18" s="8">
        <f>UIElg!K39</f>
        <v>0.67985009157916287</v>
      </c>
      <c r="C18" s="7">
        <f>UIBen!K39</f>
        <v>1169.0249999999999</v>
      </c>
      <c r="D18" s="8">
        <f>SNAPElg!K39</f>
        <v>0.80534756061573964</v>
      </c>
      <c r="E18" s="7">
        <f>SNAPBen!K39</f>
        <v>246.59155793181401</v>
      </c>
      <c r="F18" s="7">
        <f>AvgMargWorker!K39</f>
        <v>1559.0166338922004</v>
      </c>
      <c r="H18" s="4">
        <f>UIElg!A75</f>
        <v>40118</v>
      </c>
      <c r="I18" s="8">
        <f>UIElg!K75</f>
        <v>0.97924742634443396</v>
      </c>
      <c r="J18" s="7">
        <f>UIBen!K75</f>
        <v>1477.8199353686211</v>
      </c>
      <c r="K18" s="8">
        <f>SNAPElg!K75</f>
        <v>0.96726789175683392</v>
      </c>
      <c r="L18" s="7">
        <f>SNAPBen!K75</f>
        <v>317.40480261858596</v>
      </c>
      <c r="M18" s="7">
        <f>AvgMargWorker!K75</f>
        <v>1875.8395885026409</v>
      </c>
    </row>
    <row r="19" spans="1:13">
      <c r="A19" s="4">
        <f>UIElg!A40</f>
        <v>39052</v>
      </c>
      <c r="B19" s="8">
        <f>UIElg!K40</f>
        <v>0.67985009157916287</v>
      </c>
      <c r="C19" s="7">
        <f>UIBen!K40</f>
        <v>1169.0249999999999</v>
      </c>
      <c r="D19" s="8">
        <f>SNAPElg!K40</f>
        <v>0.8115305320278513</v>
      </c>
      <c r="E19" s="7">
        <f>SNAPBen!K40</f>
        <v>245.63447556359205</v>
      </c>
      <c r="F19" s="7">
        <f>AvgMargWorker!K40</f>
        <v>1559.3820260883003</v>
      </c>
      <c r="H19" s="4">
        <f>UIElg!A76</f>
        <v>40148</v>
      </c>
      <c r="I19" s="8">
        <f>UIElg!K76</f>
        <v>1.0041505147311134</v>
      </c>
      <c r="J19" s="7">
        <f>UIBen!K76</f>
        <v>1477.8199353686211</v>
      </c>
      <c r="K19" s="8">
        <f>SNAPElg!K76</f>
        <v>0.96726789175683392</v>
      </c>
      <c r="L19" s="7">
        <f>SNAPBen!K76</f>
        <v>317.22076649458177</v>
      </c>
      <c r="M19" s="7">
        <f>AvgMargWorker!K76</f>
        <v>1889.247740381503</v>
      </c>
    </row>
    <row r="20" spans="1:13">
      <c r="A20" s="4">
        <f>UIElg!A41</f>
        <v>39083</v>
      </c>
      <c r="B20" s="8">
        <f>UIElg!K41</f>
        <v>0.67985009157916287</v>
      </c>
      <c r="C20" s="7">
        <f>UIBen!K41</f>
        <v>1169.0249999999999</v>
      </c>
      <c r="D20" s="8">
        <f>SNAPElg!K41</f>
        <v>0.8115305320278513</v>
      </c>
      <c r="E20" s="7">
        <f>SNAPBen!K41</f>
        <v>244.91091543688498</v>
      </c>
      <c r="F20" s="7">
        <f>AvgMargWorker!K41</f>
        <v>1559.7391042889356</v>
      </c>
      <c r="H20" s="4">
        <f>UIElg!A77</f>
        <v>40179</v>
      </c>
      <c r="I20" s="8">
        <f>UIElg!K77</f>
        <v>1.0041505147311134</v>
      </c>
      <c r="J20" s="7">
        <f>UIBen!K77</f>
        <v>1421.3153608015368</v>
      </c>
      <c r="K20" s="8">
        <f>SNAPElg!K77</f>
        <v>0.96726789175683392</v>
      </c>
      <c r="L20" s="7">
        <f>SNAPBen!K77</f>
        <v>316.43526854584502</v>
      </c>
      <c r="M20" s="7">
        <f>AvgMargWorker!K77</f>
        <v>1867.4268539097511</v>
      </c>
    </row>
    <row r="21" spans="1:13">
      <c r="A21" s="4">
        <f>UIElg!A42</f>
        <v>39114</v>
      </c>
      <c r="B21" s="8">
        <f>UIElg!K42</f>
        <v>0.67985009157916287</v>
      </c>
      <c r="C21" s="7">
        <f>UIBen!K42</f>
        <v>1169.0249999999999</v>
      </c>
      <c r="D21" s="8">
        <f>SNAPElg!K42</f>
        <v>0.8115305320278513</v>
      </c>
      <c r="E21" s="7">
        <f>SNAPBen!K42</f>
        <v>244.02999162157619</v>
      </c>
      <c r="F21" s="7">
        <f>AvgMargWorker!K42</f>
        <v>1559.3898674479813</v>
      </c>
      <c r="H21" s="4">
        <f>UIElg!A78</f>
        <v>40210</v>
      </c>
      <c r="I21" s="8">
        <f>UIElg!K78</f>
        <v>1.0041505147311134</v>
      </c>
      <c r="J21" s="7">
        <f>UIBen!K78</f>
        <v>1421.3153608015368</v>
      </c>
      <c r="K21" s="8">
        <f>SNAPElg!K78</f>
        <v>0.97297188474572127</v>
      </c>
      <c r="L21" s="7">
        <f>SNAPBen!K78</f>
        <v>316.16954143834084</v>
      </c>
      <c r="M21" s="7">
        <f>AvgMargWorker!K78</f>
        <v>1868.1822914289287</v>
      </c>
    </row>
    <row r="22" spans="1:13">
      <c r="A22" s="4">
        <f>UIElg!A43</f>
        <v>39142</v>
      </c>
      <c r="B22" s="8">
        <f>UIElg!K43</f>
        <v>0.67985009157916287</v>
      </c>
      <c r="C22" s="7">
        <f>UIBen!K43</f>
        <v>1169.0249999999999</v>
      </c>
      <c r="D22" s="8">
        <f>SNAPElg!K43</f>
        <v>0.8115305320278513</v>
      </c>
      <c r="E22" s="7">
        <f>SNAPBen!K43</f>
        <v>243.0810392067784</v>
      </c>
      <c r="F22" s="7">
        <f>AvgMargWorker!K43</f>
        <v>1559.0136610862044</v>
      </c>
      <c r="H22" s="4">
        <f>UIElg!A79</f>
        <v>40238</v>
      </c>
      <c r="I22" s="8">
        <f>UIElg!K79</f>
        <v>1.0041505147311134</v>
      </c>
      <c r="J22" s="7">
        <f>UIBen!K79</f>
        <v>1421.3153608015368</v>
      </c>
      <c r="K22" s="8">
        <f>SNAPElg!K79</f>
        <v>0.98828357454846216</v>
      </c>
      <c r="L22" s="7">
        <f>SNAPBen!K79</f>
        <v>315.67357133159572</v>
      </c>
      <c r="M22" s="7">
        <f>AvgMargWorker!K79</f>
        <v>1870.3077811822225</v>
      </c>
    </row>
    <row r="23" spans="1:13">
      <c r="A23" s="4">
        <f>UIElg!A44</f>
        <v>39173</v>
      </c>
      <c r="B23" s="8">
        <f>UIElg!K44</f>
        <v>0.67985009157916287</v>
      </c>
      <c r="C23" s="7">
        <f>UIBen!K44</f>
        <v>1169.0249999999999</v>
      </c>
      <c r="D23" s="8">
        <f>SNAPElg!K44</f>
        <v>0.8115305320278513</v>
      </c>
      <c r="E23" s="7">
        <f>SNAPBen!K44</f>
        <v>242.53415958683158</v>
      </c>
      <c r="F23" s="7">
        <f>AvgMargWorker!K44</f>
        <v>1559.923730069235</v>
      </c>
      <c r="H23" s="4">
        <f>UIElg!A80</f>
        <v>40269</v>
      </c>
      <c r="I23" s="8">
        <f>UIElg!K80</f>
        <v>1.0041505147311134</v>
      </c>
      <c r="J23" s="7">
        <f>UIBen!K80</f>
        <v>1421.3153608015368</v>
      </c>
      <c r="K23" s="8">
        <f>SNAPElg!K80</f>
        <v>1.0019509963657249</v>
      </c>
      <c r="L23" s="7">
        <f>SNAPBen!K80</f>
        <v>315.55693125278862</v>
      </c>
      <c r="M23" s="7">
        <f>AvgMargWorker!K80</f>
        <v>1871.9695419211785</v>
      </c>
    </row>
    <row r="24" spans="1:13">
      <c r="A24" s="4">
        <f>UIElg!A45</f>
        <v>39203</v>
      </c>
      <c r="B24" s="8">
        <f>UIElg!K45</f>
        <v>0.67985009157916287</v>
      </c>
      <c r="C24" s="7">
        <f>UIBen!K45</f>
        <v>1169.0249999999999</v>
      </c>
      <c r="D24" s="8">
        <f>SNAPElg!K45</f>
        <v>0.8115305320278513</v>
      </c>
      <c r="E24" s="7">
        <f>SNAPBen!K45</f>
        <v>241.83102169593408</v>
      </c>
      <c r="F24" s="7">
        <f>AvgMargWorker!K45</f>
        <v>1559.6449753670631</v>
      </c>
      <c r="H24" s="4">
        <f>UIElg!A81</f>
        <v>40299</v>
      </c>
      <c r="I24" s="8">
        <f>UIElg!K81</f>
        <v>1.0041505147311134</v>
      </c>
      <c r="J24" s="7">
        <f>UIBen!K81</f>
        <v>1421.3153608015368</v>
      </c>
      <c r="K24" s="8">
        <f>SNAPElg!K81</f>
        <v>1.0019509963657249</v>
      </c>
      <c r="L24" s="7">
        <f>SNAPBen!K81</f>
        <v>315.71626607822776</v>
      </c>
      <c r="M24" s="7">
        <f>AvgMargWorker!K81</f>
        <v>1872.0475310423742</v>
      </c>
    </row>
    <row r="25" spans="1:13">
      <c r="A25" s="4">
        <f>UIElg!A46</f>
        <v>39234</v>
      </c>
      <c r="B25" s="8">
        <f>UIElg!K46</f>
        <v>0.67985009157916287</v>
      </c>
      <c r="C25" s="7">
        <f>UIBen!K46</f>
        <v>1169.0249999999999</v>
      </c>
      <c r="D25" s="8">
        <f>SNAPElg!K46</f>
        <v>0.81898193045010081</v>
      </c>
      <c r="E25" s="7">
        <f>SNAPBen!K46</f>
        <v>241.44774944243719</v>
      </c>
      <c r="F25" s="7">
        <f>AvgMargWorker!K46</f>
        <v>1560.371926031977</v>
      </c>
      <c r="H25" s="4">
        <f>UIElg!A82</f>
        <v>40330</v>
      </c>
      <c r="I25" s="8">
        <f>UIElg!K82</f>
        <v>1.0041505147311134</v>
      </c>
      <c r="J25" s="7">
        <f>UIBen!K82</f>
        <v>1349.7240250721352</v>
      </c>
      <c r="K25" s="8">
        <f>SNAPElg!K82</f>
        <v>1.0160805387363021</v>
      </c>
      <c r="L25" s="7">
        <f>SNAPBen!K82</f>
        <v>316.22950531647427</v>
      </c>
      <c r="M25" s="7">
        <f>AvgMargWorker!K82</f>
        <v>1848.1205596649454</v>
      </c>
    </row>
    <row r="26" spans="1:13">
      <c r="A26" s="4">
        <f>UIElg!A47</f>
        <v>39264</v>
      </c>
      <c r="B26" s="8">
        <f>UIElg!K47</f>
        <v>0.67985009157916287</v>
      </c>
      <c r="C26" s="7">
        <f>UIBen!K47</f>
        <v>1169.0249999999999</v>
      </c>
      <c r="D26" s="8">
        <f>SNAPElg!K47</f>
        <v>0.81898193045010081</v>
      </c>
      <c r="E26" s="7">
        <f>SNAPBen!K47</f>
        <v>241.03599972050523</v>
      </c>
      <c r="F26" s="7">
        <f>AvgMargWorker!K47</f>
        <v>1562.460943671736</v>
      </c>
      <c r="H26" s="4">
        <f>UIElg!A83</f>
        <v>40360</v>
      </c>
      <c r="I26" s="8">
        <f>UIElg!K83</f>
        <v>1.0041505147311134</v>
      </c>
      <c r="J26" s="7">
        <f>UIBen!K83</f>
        <v>1294.5634588114353</v>
      </c>
      <c r="K26" s="8">
        <f>SNAPElg!K83</f>
        <v>1.0498968140702434</v>
      </c>
      <c r="L26" s="7">
        <f>SNAPBen!K83</f>
        <v>315.52280899735013</v>
      </c>
      <c r="M26" s="7">
        <f>AvgMargWorker!K83</f>
        <v>1832.2824038066242</v>
      </c>
    </row>
    <row r="27" spans="1:13">
      <c r="A27" s="4">
        <f>UIElg!A48</f>
        <v>39295</v>
      </c>
      <c r="B27" s="8">
        <f>UIElg!K48</f>
        <v>0.67985009157916287</v>
      </c>
      <c r="C27" s="7">
        <f>UIBen!K48</f>
        <v>1169.0249999999999</v>
      </c>
      <c r="D27" s="8">
        <f>SNAPElg!K48</f>
        <v>0.81898193045010081</v>
      </c>
      <c r="E27" s="7">
        <f>SNAPBen!K48</f>
        <v>240.86257118444195</v>
      </c>
      <c r="F27" s="7">
        <f>AvgMargWorker!K48</f>
        <v>1562.3915576937115</v>
      </c>
      <c r="H27" s="4">
        <f>UIElg!A84</f>
        <v>40391</v>
      </c>
      <c r="I27" s="8">
        <f>UIElg!K84</f>
        <v>1.0041505147311134</v>
      </c>
      <c r="J27" s="7">
        <f>UIBen!K84</f>
        <v>1294.5634588114353</v>
      </c>
      <c r="K27" s="8">
        <f>SNAPElg!K84</f>
        <v>1.0498968140702434</v>
      </c>
      <c r="L27" s="7">
        <f>SNAPBen!K84</f>
        <v>315.01469331166885</v>
      </c>
      <c r="M27" s="7">
        <f>AvgMargWorker!K84</f>
        <v>1832.0217968191359</v>
      </c>
    </row>
    <row r="28" spans="1:13">
      <c r="A28" s="4">
        <f>UIElg!A49</f>
        <v>39326</v>
      </c>
      <c r="B28" s="8">
        <f>UIElg!K49</f>
        <v>0.67985009157916287</v>
      </c>
      <c r="C28" s="7">
        <f>UIBen!K49</f>
        <v>1169.0249999999999</v>
      </c>
      <c r="D28" s="8">
        <f>SNAPElg!K49</f>
        <v>0.81898193045010081</v>
      </c>
      <c r="E28" s="7">
        <f>SNAPBen!K49</f>
        <v>239.9289953271379</v>
      </c>
      <c r="F28" s="7">
        <f>AvgMargWorker!K49</f>
        <v>1562.0180489540917</v>
      </c>
      <c r="H28" s="4">
        <f>UIElg!A85</f>
        <v>40422</v>
      </c>
      <c r="I28" s="8">
        <f>UIElg!K85</f>
        <v>1.0041505147311134</v>
      </c>
      <c r="J28" s="7">
        <f>UIBen!K85</f>
        <v>1294.5634588114353</v>
      </c>
      <c r="K28" s="8">
        <f>SNAPElg!K85</f>
        <v>1.0498968140702434</v>
      </c>
      <c r="L28" s="7">
        <f>SNAPBen!K85</f>
        <v>314.65235040727464</v>
      </c>
      <c r="M28" s="7">
        <f>AvgMargWorker!K85</f>
        <v>1831.8359550995965</v>
      </c>
    </row>
    <row r="29" spans="1:13">
      <c r="A29" s="4">
        <f>UIElg!A50</f>
        <v>39356</v>
      </c>
      <c r="B29" s="8">
        <f>UIElg!K50</f>
        <v>0.67985009157916287</v>
      </c>
      <c r="C29" s="7">
        <f>UIBen!K50</f>
        <v>1169.0249999999999</v>
      </c>
      <c r="D29" s="8">
        <f>SNAPElg!K50</f>
        <v>0.81898193045010081</v>
      </c>
      <c r="E29" s="7">
        <f>SNAPBen!K50</f>
        <v>253.18581230100349</v>
      </c>
      <c r="F29" s="7">
        <f>AvgMargWorker!K50</f>
        <v>1569.8976056716003</v>
      </c>
      <c r="H29" s="4">
        <f>UIElg!A86</f>
        <v>40452</v>
      </c>
      <c r="I29" s="8">
        <f>UIElg!K86</f>
        <v>1.0041505147311134</v>
      </c>
      <c r="J29" s="7">
        <f>UIBen!K86</f>
        <v>1294.5634588114353</v>
      </c>
      <c r="K29" s="8">
        <f>SNAPElg!K86</f>
        <v>1.0498968140702434</v>
      </c>
      <c r="L29" s="7">
        <f>SNAPBen!K86</f>
        <v>313.97238397510745</v>
      </c>
      <c r="M29" s="7">
        <f>AvgMargWorker!K86</f>
        <v>1831.0983945747071</v>
      </c>
    </row>
    <row r="30" spans="1:13">
      <c r="A30" s="4">
        <f>UIElg!A51</f>
        <v>39387</v>
      </c>
      <c r="B30" s="8">
        <f>UIElg!K51</f>
        <v>0.67985009157916287</v>
      </c>
      <c r="C30" s="7">
        <f>UIBen!K51</f>
        <v>1169.0249999999999</v>
      </c>
      <c r="D30" s="8">
        <f>SNAPElg!K51</f>
        <v>0.81898193045010081</v>
      </c>
      <c r="E30" s="7">
        <f>SNAPBen!K51</f>
        <v>251.80995689164584</v>
      </c>
      <c r="F30" s="7">
        <f>AvgMargWorker!K51</f>
        <v>1569.3471479708921</v>
      </c>
      <c r="H30" s="4">
        <f>UIElg!A87</f>
        <v>40483</v>
      </c>
      <c r="I30" s="8">
        <f>UIElg!K87</f>
        <v>1.0041505147311134</v>
      </c>
      <c r="J30" s="7">
        <f>UIBen!K87</f>
        <v>1294.5634588114353</v>
      </c>
      <c r="K30" s="8">
        <f>SNAPElg!K87</f>
        <v>1.0498968140702434</v>
      </c>
      <c r="L30" s="7">
        <f>SNAPBen!K87</f>
        <v>313.72764029488604</v>
      </c>
      <c r="M30" s="7">
        <f>AvgMargWorker!K87</f>
        <v>1830.9728682132768</v>
      </c>
    </row>
    <row r="31" spans="1:13">
      <c r="A31" s="4">
        <f>UIElg!A52</f>
        <v>39417</v>
      </c>
      <c r="B31" s="8">
        <f>UIElg!K52</f>
        <v>0.67985009157916287</v>
      </c>
      <c r="C31" s="7">
        <f>UIBen!K52</f>
        <v>1169.0249999999999</v>
      </c>
      <c r="D31" s="8">
        <f>SNAPElg!K52</f>
        <v>0.81898193045010081</v>
      </c>
      <c r="E31" s="7">
        <f>SNAPBen!K52</f>
        <v>251.03044673119504</v>
      </c>
      <c r="F31" s="7">
        <f>AvgMargWorker!K52</f>
        <v>1569.0352784476254</v>
      </c>
      <c r="H31" s="4">
        <f>UIElg!A88</f>
        <v>40513</v>
      </c>
      <c r="I31" s="8">
        <f>UIElg!K88</f>
        <v>1.0041505147311134</v>
      </c>
      <c r="J31" s="7">
        <f>UIBen!K88</f>
        <v>1222.9721230820337</v>
      </c>
      <c r="K31" s="8">
        <f>SNAPElg!K88</f>
        <v>1.0498968140702434</v>
      </c>
      <c r="L31" s="7">
        <f>SNAPBen!K88</f>
        <v>312.942543106757</v>
      </c>
      <c r="M31" s="7">
        <f>AvgMargWorker!K88</f>
        <v>1804.2092487401173</v>
      </c>
    </row>
    <row r="32" spans="1:13">
      <c r="A32" s="4">
        <f>UIElg!A53</f>
        <v>39448</v>
      </c>
      <c r="B32" s="8">
        <f>UIElg!K53</f>
        <v>0.67985009157916287</v>
      </c>
      <c r="C32" s="7">
        <f>UIBen!K53</f>
        <v>1169.0249999999999</v>
      </c>
      <c r="D32" s="8">
        <f>SNAPElg!K53</f>
        <v>0.84157166365465785</v>
      </c>
      <c r="E32" s="7">
        <f>SNAPBen!K53</f>
        <v>250.28831927400114</v>
      </c>
      <c r="F32" s="7">
        <f>AvgMargWorker!K53</f>
        <v>1576.0079001723579</v>
      </c>
      <c r="H32" s="4">
        <f>UIElg!A89</f>
        <v>40544</v>
      </c>
      <c r="I32" s="8">
        <f>UIElg!K89</f>
        <v>1.0041505147311134</v>
      </c>
      <c r="J32" s="7">
        <f>UIBen!K89</f>
        <v>1169.0249999999999</v>
      </c>
      <c r="K32" s="8">
        <f>SNAPElg!K89</f>
        <v>1.0551555846233531</v>
      </c>
      <c r="L32" s="7">
        <f>SNAPBen!K89</f>
        <v>311.80000005050738</v>
      </c>
      <c r="M32" s="7">
        <f>AvgMargWorker!K89</f>
        <v>1721.207228373464</v>
      </c>
    </row>
    <row r="33" spans="1:13">
      <c r="A33" s="4">
        <f>UIElg!A54</f>
        <v>39479</v>
      </c>
      <c r="B33" s="8">
        <f>UIElg!K54</f>
        <v>0.67985009157916287</v>
      </c>
      <c r="C33" s="7">
        <f>UIBen!K54</f>
        <v>1169.0249999999999</v>
      </c>
      <c r="D33" s="8">
        <f>SNAPElg!K54</f>
        <v>0.84157166365465785</v>
      </c>
      <c r="E33" s="7">
        <f>SNAPBen!K54</f>
        <v>249.72880565294653</v>
      </c>
      <c r="F33" s="7">
        <f>AvgMargWorker!K54</f>
        <v>1575.7778732843808</v>
      </c>
      <c r="H33" s="4">
        <f>UIElg!A90</f>
        <v>40575</v>
      </c>
      <c r="I33" s="8">
        <f>UIElg!K90</f>
        <v>1.0041505147311134</v>
      </c>
      <c r="J33" s="7">
        <f>UIBen!K90</f>
        <v>1169.0249999999999</v>
      </c>
      <c r="K33" s="8">
        <f>SNAPElg!K90</f>
        <v>1.0551555846233531</v>
      </c>
      <c r="L33" s="7">
        <f>SNAPBen!K90</f>
        <v>310.56106331584817</v>
      </c>
      <c r="M33" s="7">
        <f>AvgMargWorker!K90</f>
        <v>1720.568608443039</v>
      </c>
    </row>
    <row r="34" spans="1:13">
      <c r="A34" s="4">
        <f>UIElg!A55</f>
        <v>39508</v>
      </c>
      <c r="B34" s="8">
        <f>UIElg!K55</f>
        <v>0.67985009157916287</v>
      </c>
      <c r="C34" s="7">
        <f>UIBen!K55</f>
        <v>1169.0249999999999</v>
      </c>
      <c r="D34" s="8">
        <f>SNAPElg!K55</f>
        <v>0.85286490055930042</v>
      </c>
      <c r="E34" s="7">
        <f>SNAPBen!K55</f>
        <v>248.85854979504555</v>
      </c>
      <c r="F34" s="7">
        <f>AvgMargWorker!K55</f>
        <v>1576.7930224919335</v>
      </c>
      <c r="H34" s="4">
        <f>UIElg!A91</f>
        <v>40603</v>
      </c>
      <c r="I34" s="8">
        <f>UIElg!K91</f>
        <v>1.0041505147311134</v>
      </c>
      <c r="J34" s="7">
        <f>UIBen!K91</f>
        <v>1169.0249999999999</v>
      </c>
      <c r="K34" s="8">
        <f>SNAPElg!K91</f>
        <v>1.0551555846233531</v>
      </c>
      <c r="L34" s="7">
        <f>SNAPBen!K91</f>
        <v>309.33466619849048</v>
      </c>
      <c r="M34" s="7">
        <f>AvgMargWorker!K91</f>
        <v>1719.9364521594689</v>
      </c>
    </row>
    <row r="35" spans="1:13">
      <c r="A35" s="4">
        <f>UIElg!A56</f>
        <v>39539</v>
      </c>
      <c r="B35" s="8">
        <f>UIElg!K56</f>
        <v>0.67985009157916287</v>
      </c>
      <c r="C35" s="7">
        <f>UIBen!K56</f>
        <v>1169.0249999999999</v>
      </c>
      <c r="D35" s="8">
        <f>SNAPElg!K56</f>
        <v>0.85286490055930042</v>
      </c>
      <c r="E35" s="7">
        <f>SNAPBen!K56</f>
        <v>248.06745985890598</v>
      </c>
      <c r="F35" s="7">
        <f>AvgMargWorker!K56</f>
        <v>1579.8440538868454</v>
      </c>
      <c r="H35" s="4">
        <f>UIElg!A92</f>
        <v>40634</v>
      </c>
      <c r="I35" s="8">
        <f>UIElg!K92</f>
        <v>1.0041505147311134</v>
      </c>
      <c r="J35" s="7">
        <f>UIBen!K92</f>
        <v>1169.0249999999999</v>
      </c>
      <c r="K35" s="8">
        <f>SNAPElg!K92</f>
        <v>1.0551555846233531</v>
      </c>
      <c r="L35" s="7">
        <f>SNAPBen!K92</f>
        <v>308.28339677471325</v>
      </c>
      <c r="M35" s="7">
        <f>AvgMargWorker!K92</f>
        <v>1719.3945668577505</v>
      </c>
    </row>
    <row r="36" spans="1:13">
      <c r="A36" s="4">
        <f>UIElg!A57</f>
        <v>39569</v>
      </c>
      <c r="B36" s="8">
        <f>UIElg!K57</f>
        <v>0.67985009157916287</v>
      </c>
      <c r="C36" s="7">
        <f>UIBen!K57</f>
        <v>1169.0249999999999</v>
      </c>
      <c r="D36" s="8">
        <f>SNAPElg!K57</f>
        <v>0.85286490055930042</v>
      </c>
      <c r="E36" s="7">
        <f>SNAPBen!K57</f>
        <v>247.04766465425919</v>
      </c>
      <c r="F36" s="7">
        <f>AvgMargWorker!K57</f>
        <v>1579.4191702134444</v>
      </c>
      <c r="H36" s="4">
        <f>UIElg!A93</f>
        <v>40664</v>
      </c>
      <c r="I36" s="8">
        <f>UIElg!K93</f>
        <v>1.0041505147311134</v>
      </c>
      <c r="J36" s="7">
        <f>UIBen!K93</f>
        <v>1169.0249999999999</v>
      </c>
      <c r="K36" s="8">
        <f>SNAPElg!K93</f>
        <v>1.0551555846233531</v>
      </c>
      <c r="L36" s="7">
        <f>SNAPBen!K93</f>
        <v>307.74150295018399</v>
      </c>
      <c r="M36" s="7">
        <f>AvgMargWorker!K93</f>
        <v>1719.1152433161706</v>
      </c>
    </row>
    <row r="37" spans="1:13">
      <c r="A37" s="4">
        <f>UIElg!A58</f>
        <v>39600</v>
      </c>
      <c r="B37" s="8">
        <f>UIElg!K58</f>
        <v>0.67985009157916287</v>
      </c>
      <c r="C37" s="7">
        <f>UIBen!K58</f>
        <v>1169.0249999999999</v>
      </c>
      <c r="D37" s="8">
        <f>SNAPElg!K58</f>
        <v>0.85286490055930042</v>
      </c>
      <c r="E37" s="7">
        <f>SNAPBen!K58</f>
        <v>245.53135751050803</v>
      </c>
      <c r="F37" s="7">
        <f>AvgMargWorker!K58</f>
        <v>1578.78742165618</v>
      </c>
      <c r="H37" s="4">
        <f>UIElg!A94</f>
        <v>40695</v>
      </c>
      <c r="I37" s="8">
        <f>UIElg!K94</f>
        <v>1.0041505147311134</v>
      </c>
      <c r="J37" s="7">
        <f>UIBen!K94</f>
        <v>1169.0249999999999</v>
      </c>
      <c r="K37" s="8">
        <f>SNAPElg!K94</f>
        <v>1.0551555846233531</v>
      </c>
      <c r="L37" s="7">
        <f>SNAPBen!K94</f>
        <v>308.12876268884196</v>
      </c>
      <c r="M37" s="7">
        <f>AvgMargWorker!K94</f>
        <v>1719.3148594712491</v>
      </c>
    </row>
    <row r="38" spans="1:13">
      <c r="A38" s="4">
        <f>UIElg!A59</f>
        <v>39630</v>
      </c>
      <c r="B38" s="8">
        <f>UIElg!K59</f>
        <v>0.86115273903318967</v>
      </c>
      <c r="C38" s="7">
        <f>UIBen!K59</f>
        <v>1169.0249999999999</v>
      </c>
      <c r="D38" s="8">
        <f>SNAPElg!K59</f>
        <v>0.85286490055930042</v>
      </c>
      <c r="E38" s="7">
        <f>SNAPBen!K59</f>
        <v>244.2283607840269</v>
      </c>
      <c r="F38" s="7">
        <f>AvgMargWorker!K59</f>
        <v>1660.3105233888637</v>
      </c>
      <c r="H38" s="4">
        <f>UIElg!A95</f>
        <v>40725</v>
      </c>
      <c r="I38" s="8">
        <f>UIElg!K95</f>
        <v>1.0041505147311134</v>
      </c>
      <c r="J38" s="7">
        <f>UIBen!K95</f>
        <v>1169.0249999999999</v>
      </c>
      <c r="K38" s="8">
        <f>SNAPElg!K95</f>
        <v>1.0551555846233531</v>
      </c>
      <c r="L38" s="7">
        <f>SNAPBen!K95</f>
        <v>307.00219374745234</v>
      </c>
      <c r="M38" s="7">
        <f>AvgMargWorker!K95</f>
        <v>1718.7341604259768</v>
      </c>
    </row>
    <row r="39" spans="1:13">
      <c r="A39" s="4">
        <f>UIElg!A60</f>
        <v>39661</v>
      </c>
      <c r="B39" s="8">
        <f>UIElg!K60</f>
        <v>0.86115273903318967</v>
      </c>
      <c r="C39" s="7">
        <f>UIBen!K60</f>
        <v>1169.0249999999999</v>
      </c>
      <c r="D39" s="8">
        <f>SNAPElg!K60</f>
        <v>0.85286490055930042</v>
      </c>
      <c r="E39" s="7">
        <f>SNAPBen!K60</f>
        <v>244.43235930587696</v>
      </c>
      <c r="F39" s="7">
        <f>AvgMargWorker!K60</f>
        <v>1660.3955165727275</v>
      </c>
      <c r="H39" s="4">
        <f>UIElg!A96</f>
        <v>40756</v>
      </c>
      <c r="I39" s="8">
        <f>UIElg!K96</f>
        <v>1.0041505147311134</v>
      </c>
      <c r="J39" s="7">
        <f>UIBen!K96</f>
        <v>1169.0249999999999</v>
      </c>
      <c r="K39" s="8">
        <f>SNAPElg!K96</f>
        <v>1.0551555846233531</v>
      </c>
      <c r="L39" s="7">
        <f>SNAPBen!K96</f>
        <v>306.17002033569946</v>
      </c>
      <c r="M39" s="7">
        <f>AvgMargWorker!K96</f>
        <v>1718.3052099304041</v>
      </c>
    </row>
    <row r="40" spans="1:13">
      <c r="A40" s="4">
        <f>UIElg!A61</f>
        <v>39692</v>
      </c>
      <c r="B40" s="8">
        <f>UIElg!K61</f>
        <v>0.86115273903318967</v>
      </c>
      <c r="C40" s="7">
        <f>UIBen!K61</f>
        <v>1169.0249999999999</v>
      </c>
      <c r="D40" s="8">
        <f>SNAPElg!K61</f>
        <v>0.85286490055930042</v>
      </c>
      <c r="E40" s="7">
        <f>SNAPBen!K61</f>
        <v>244.13977194311678</v>
      </c>
      <c r="F40" s="7">
        <f>AvgMargWorker!K61</f>
        <v>1660.2736140643474</v>
      </c>
      <c r="H40" s="4">
        <f>UIElg!A97</f>
        <v>40787</v>
      </c>
      <c r="I40" s="8">
        <f>UIElg!K97</f>
        <v>1.0041505147311134</v>
      </c>
      <c r="J40" s="7">
        <f>UIBen!K97</f>
        <v>1169.0249999999999</v>
      </c>
      <c r="K40" s="8">
        <f>SNAPElg!K97</f>
        <v>1.0551555846233531</v>
      </c>
      <c r="L40" s="7">
        <f>SNAPBen!K97</f>
        <v>305.66220477392261</v>
      </c>
      <c r="M40" s="7">
        <f>AvgMargWorker!K97</f>
        <v>1718.0434523041602</v>
      </c>
    </row>
    <row r="41" spans="1:13">
      <c r="A41" s="4">
        <f>UIElg!A62</f>
        <v>39722</v>
      </c>
      <c r="B41" s="8">
        <f>UIElg!K62</f>
        <v>0.86115273903318967</v>
      </c>
      <c r="C41" s="7">
        <f>UIBen!K62</f>
        <v>1169.0249999999999</v>
      </c>
      <c r="D41" s="8">
        <f>SNAPElg!K62</f>
        <v>0.88906145979720752</v>
      </c>
      <c r="E41" s="7">
        <f>SNAPBen!K62</f>
        <v>273.72863050045538</v>
      </c>
      <c r="F41" s="7">
        <f>AvgMargWorker!K62</f>
        <v>1680.6612633072546</v>
      </c>
      <c r="H41" s="4">
        <f>UIElg!A98</f>
        <v>40817</v>
      </c>
      <c r="I41" s="8">
        <f>UIElg!K98</f>
        <v>1.0041505147311134</v>
      </c>
      <c r="J41" s="7">
        <f>UIBen!K98</f>
        <v>1169.0249999999999</v>
      </c>
      <c r="K41" s="8">
        <f>SNAPElg!K98</f>
        <v>1.0611572756631387</v>
      </c>
      <c r="L41" s="7">
        <f>SNAPBen!K98</f>
        <v>305.63819213595951</v>
      </c>
      <c r="M41" s="7">
        <f>AvgMargWorker!K98</f>
        <v>1718.9271781301052</v>
      </c>
    </row>
    <row r="42" spans="1:13">
      <c r="A42" s="4">
        <f>UIElg!A63</f>
        <v>39753</v>
      </c>
      <c r="B42" s="8">
        <f>UIElg!K63</f>
        <v>0.86115273903318967</v>
      </c>
      <c r="C42" s="7">
        <f>UIBen!K63</f>
        <v>1169.0249999999999</v>
      </c>
      <c r="D42" s="8">
        <f>SNAPElg!K63</f>
        <v>0.88906145979720752</v>
      </c>
      <c r="E42" s="7">
        <f>SNAPBen!K63</f>
        <v>277.04938467830584</v>
      </c>
      <c r="F42" s="7">
        <f>AvgMargWorker!K63</f>
        <v>1682.1035292496326</v>
      </c>
      <c r="H42" s="4">
        <f>UIElg!A99</f>
        <v>40848</v>
      </c>
      <c r="I42" s="8">
        <f>UIElg!K99</f>
        <v>1.0041505147311134</v>
      </c>
      <c r="J42" s="7">
        <f>UIBen!K99</f>
        <v>1169.0249999999999</v>
      </c>
      <c r="K42" s="8">
        <f>SNAPElg!K99</f>
        <v>1.0611572756631387</v>
      </c>
      <c r="L42" s="7">
        <f>SNAPBen!K99</f>
        <v>305.36897549075502</v>
      </c>
      <c r="M42" s="7">
        <f>AvgMargWorker!K99</f>
        <v>1718.7876189207475</v>
      </c>
    </row>
    <row r="43" spans="1:13">
      <c r="A43" s="4">
        <f>UIElg!A64</f>
        <v>39783</v>
      </c>
      <c r="B43" s="8">
        <f>UIElg!K64</f>
        <v>0.93510516883586092</v>
      </c>
      <c r="C43" s="7">
        <f>UIBen!K64</f>
        <v>1169.0249999999999</v>
      </c>
      <c r="D43" s="8">
        <f>SNAPElg!K64</f>
        <v>0.88906145979720752</v>
      </c>
      <c r="E43" s="7">
        <f>SNAPBen!K64</f>
        <v>278.45714810986823</v>
      </c>
      <c r="F43" s="7">
        <f>AvgMargWorker!K64</f>
        <v>1714.4163188483433</v>
      </c>
      <c r="H43" s="4">
        <f>UIElg!A100</f>
        <v>40878</v>
      </c>
      <c r="I43" s="8">
        <f>UIElg!K100</f>
        <v>1.0041505147311134</v>
      </c>
      <c r="J43" s="7">
        <f>UIBen!K100</f>
        <v>1169.0249999999999</v>
      </c>
      <c r="K43" s="8">
        <f>SNAPElg!K100</f>
        <v>1.0611572756631387</v>
      </c>
      <c r="L43" s="7">
        <f>SNAPBen!K100</f>
        <v>305.16138995025301</v>
      </c>
      <c r="M43" s="7">
        <f>AvgMargWorker!K100</f>
        <v>1718.6800086580738</v>
      </c>
    </row>
    <row r="44" spans="1:13">
      <c r="I44" s="8"/>
      <c r="K44" s="8"/>
    </row>
    <row r="45" spans="1:13" hidden="1">
      <c r="H45" s="2" t="s">
        <v>334</v>
      </c>
      <c r="I45" s="8">
        <f>I43</f>
        <v>1.0041505147311134</v>
      </c>
      <c r="J45" s="7">
        <f>J43</f>
        <v>1169.0249999999999</v>
      </c>
      <c r="K45" s="8">
        <f>K43</f>
        <v>1.0611572756631387</v>
      </c>
      <c r="L45" s="7">
        <f>L43</f>
        <v>305.16138995025301</v>
      </c>
      <c r="M45" s="7" t="e">
        <f>M43+#REF!-#REF!</f>
        <v>#REF!</v>
      </c>
    </row>
    <row r="46" spans="1:13" hidden="1">
      <c r="I46" s="8"/>
      <c r="K46" s="8"/>
      <c r="M46" s="69" t="s">
        <v>335</v>
      </c>
    </row>
    <row r="47" spans="1:13">
      <c r="I47" s="8"/>
      <c r="K47" s="8"/>
    </row>
    <row r="48" spans="1:13">
      <c r="I48" s="8"/>
    </row>
    <row r="49" spans="9:9">
      <c r="I49" s="8"/>
    </row>
    <row r="50" spans="9:9">
      <c r="I50" s="8"/>
    </row>
    <row r="51" spans="9:9">
      <c r="I51" s="8"/>
    </row>
    <row r="52" spans="9:9">
      <c r="I52" s="8"/>
    </row>
    <row r="53" spans="9:9">
      <c r="I53" s="8"/>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sheetData>
  <mergeCells count="5">
    <mergeCell ref="A5:M5"/>
    <mergeCell ref="B6:C6"/>
    <mergeCell ref="D6:E6"/>
    <mergeCell ref="I6:J6"/>
    <mergeCell ref="K6:L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M144"/>
  <sheetViews>
    <sheetView workbookViewId="0"/>
  </sheetViews>
  <sheetFormatPr defaultRowHeight="15"/>
  <cols>
    <col min="1" max="1" width="19.28515625" bestFit="1" customWidth="1"/>
    <col min="2" max="2" width="18.5703125" bestFit="1" customWidth="1"/>
    <col min="3" max="3" width="9.85546875" bestFit="1" customWidth="1"/>
  </cols>
  <sheetData>
    <row r="1" spans="1:8">
      <c r="A1" s="1" t="s">
        <v>0</v>
      </c>
    </row>
    <row r="2" spans="1:8">
      <c r="A2" s="1"/>
    </row>
    <row r="3" spans="1:8">
      <c r="A3" t="s">
        <v>1</v>
      </c>
      <c r="B3" t="s">
        <v>182</v>
      </c>
    </row>
    <row r="5" spans="1:8">
      <c r="B5" s="91" t="s">
        <v>31</v>
      </c>
      <c r="C5" s="91"/>
      <c r="D5" s="91" t="s">
        <v>32</v>
      </c>
      <c r="E5" s="91"/>
      <c r="F5" s="91"/>
    </row>
    <row r="6" spans="1:8">
      <c r="A6" s="5" t="s">
        <v>33</v>
      </c>
      <c r="B6" s="5">
        <v>2007</v>
      </c>
      <c r="C6" s="5">
        <v>2010</v>
      </c>
      <c r="D6" s="5">
        <v>2007</v>
      </c>
      <c r="E6" s="5">
        <v>2010</v>
      </c>
      <c r="F6" s="6" t="s">
        <v>34</v>
      </c>
    </row>
    <row r="7" spans="1:8">
      <c r="A7" t="s">
        <v>2</v>
      </c>
      <c r="B7" s="12">
        <v>3616361.3429999999</v>
      </c>
      <c r="C7" s="12">
        <v>5481021.8279999997</v>
      </c>
      <c r="D7" s="8">
        <f>B7/B$13</f>
        <v>0.79560646649066369</v>
      </c>
      <c r="E7" s="8">
        <f>C7/C$13</f>
        <v>0.52108053806474652</v>
      </c>
      <c r="F7" s="8">
        <f>AVERAGE(D7:E7)</f>
        <v>0.65834350227770511</v>
      </c>
    </row>
    <row r="8" spans="1:8">
      <c r="A8" t="s">
        <v>3</v>
      </c>
      <c r="B8" s="12">
        <v>567654.78870000003</v>
      </c>
      <c r="C8" s="12">
        <v>2379819.7999999998</v>
      </c>
      <c r="D8" s="8">
        <f t="shared" ref="D8:E12" si="0">B8/B$13</f>
        <v>0.12488514774617514</v>
      </c>
      <c r="E8" s="8">
        <f t="shared" si="0"/>
        <v>0.22624937845460763</v>
      </c>
      <c r="F8" s="8">
        <f t="shared" ref="F8:F12" si="1">AVERAGE(D8:E8)</f>
        <v>0.17556726310039139</v>
      </c>
    </row>
    <row r="9" spans="1:8">
      <c r="A9" t="s">
        <v>4</v>
      </c>
      <c r="B9" s="12">
        <v>148224.47760000001</v>
      </c>
      <c r="C9" s="12">
        <v>1163525.449</v>
      </c>
      <c r="D9" s="8">
        <f t="shared" si="0"/>
        <v>3.2609670794935423E-2</v>
      </c>
      <c r="E9" s="8">
        <f t="shared" si="0"/>
        <v>0.11061632046778008</v>
      </c>
      <c r="F9" s="8">
        <f t="shared" si="1"/>
        <v>7.1612995631357756E-2</v>
      </c>
    </row>
    <row r="10" spans="1:8">
      <c r="A10" t="s">
        <v>5</v>
      </c>
      <c r="B10" s="12">
        <v>15366.463970000001</v>
      </c>
      <c r="C10" s="12">
        <v>215010.44440000001</v>
      </c>
      <c r="D10" s="8">
        <f t="shared" si="0"/>
        <v>3.3806516943591268E-3</v>
      </c>
      <c r="E10" s="8">
        <f t="shared" si="0"/>
        <v>2.0441034824043813E-2</v>
      </c>
      <c r="F10" s="8">
        <f t="shared" si="1"/>
        <v>1.191084325920147E-2</v>
      </c>
    </row>
    <row r="11" spans="1:8">
      <c r="A11" t="s">
        <v>6</v>
      </c>
      <c r="B11" s="12">
        <v>16420.989730000001</v>
      </c>
      <c r="C11" s="12">
        <v>195878.17629999999</v>
      </c>
      <c r="D11" s="8">
        <f t="shared" ref="D11" si="2">B11/B$13</f>
        <v>3.6126493943016299E-3</v>
      </c>
      <c r="E11" s="8">
        <f t="shared" ref="E11" si="3">C11/C$13</f>
        <v>1.8622130818769161E-2</v>
      </c>
      <c r="F11" s="8">
        <f t="shared" ref="F11" si="4">AVERAGE(D11:E11)</f>
        <v>1.1117390106535395E-2</v>
      </c>
      <c r="H11" s="11"/>
    </row>
    <row r="12" spans="1:8">
      <c r="A12" s="5" t="s">
        <v>37</v>
      </c>
      <c r="B12" s="12">
        <v>181386.6556</v>
      </c>
      <c r="C12" s="12">
        <v>1083313.7509999999</v>
      </c>
      <c r="D12" s="9">
        <f t="shared" si="0"/>
        <v>3.9905413879565123E-2</v>
      </c>
      <c r="E12" s="9">
        <f t="shared" si="0"/>
        <v>0.1029905973700528</v>
      </c>
      <c r="F12" s="9">
        <f t="shared" si="1"/>
        <v>7.1448005624808963E-2</v>
      </c>
    </row>
    <row r="13" spans="1:8">
      <c r="A13" t="s">
        <v>35</v>
      </c>
      <c r="B13" s="7">
        <f>SUM(B7:B12)</f>
        <v>4545414.7185999993</v>
      </c>
      <c r="C13" s="7">
        <f>SUM(C7:C12)</f>
        <v>10518569.4487</v>
      </c>
      <c r="D13" s="10">
        <f>SUM(D7:D12)</f>
        <v>1</v>
      </c>
      <c r="E13" s="10">
        <f>SUM(E7:E12)</f>
        <v>1</v>
      </c>
      <c r="F13" s="10">
        <f>SUM(F7:F12)</f>
        <v>1</v>
      </c>
    </row>
    <row r="15" spans="1:8">
      <c r="A15" t="s">
        <v>39</v>
      </c>
      <c r="C15" s="12">
        <v>10</v>
      </c>
    </row>
    <row r="16" spans="1:8">
      <c r="A16" t="s">
        <v>36</v>
      </c>
      <c r="C16" s="12">
        <v>211.839</v>
      </c>
    </row>
    <row r="17" spans="1:13">
      <c r="C17" s="7"/>
    </row>
    <row r="18" spans="1:13">
      <c r="B18" t="s">
        <v>38</v>
      </c>
      <c r="C18" s="91" t="s">
        <v>9</v>
      </c>
      <c r="D18" s="91"/>
      <c r="E18" s="91"/>
      <c r="F18" s="91"/>
      <c r="G18" s="91"/>
      <c r="H18" s="91"/>
      <c r="K18" s="16" t="s">
        <v>24</v>
      </c>
      <c r="M18" s="16" t="s">
        <v>354</v>
      </c>
    </row>
    <row r="19" spans="1:13">
      <c r="A19" t="s">
        <v>40</v>
      </c>
      <c r="B19" s="2" t="s">
        <v>8</v>
      </c>
      <c r="C19" s="2" t="s">
        <v>10</v>
      </c>
      <c r="D19" s="2" t="s">
        <v>13</v>
      </c>
      <c r="E19" s="2" t="s">
        <v>12</v>
      </c>
      <c r="F19" s="2" t="s">
        <v>14</v>
      </c>
      <c r="G19" s="2" t="s">
        <v>15</v>
      </c>
      <c r="K19" s="16"/>
    </row>
    <row r="20" spans="1:13">
      <c r="A20" t="s">
        <v>41</v>
      </c>
      <c r="B20" s="8">
        <f>$C$16/SUM($C$15:$C$16)</f>
        <v>0.95492226344330799</v>
      </c>
      <c r="C20" s="8">
        <f>$F7/(1-$F$12)</f>
        <v>0.70900014890463381</v>
      </c>
      <c r="D20" s="8">
        <f>$F8/(1-$F$12)</f>
        <v>0.18907639439030879</v>
      </c>
      <c r="E20" s="8">
        <f>$F9/(1-$F$12)</f>
        <v>7.7123301726948632E-2</v>
      </c>
      <c r="F20" s="8">
        <f>$F10/(1-$F$12)</f>
        <v>1.2827330436370557E-2</v>
      </c>
      <c r="G20" s="8">
        <f>$F11/(1-$F$12)</f>
        <v>1.1972824541738369E-2</v>
      </c>
      <c r="K20" s="16"/>
    </row>
    <row r="21" spans="1:13">
      <c r="A21" t="s">
        <v>7</v>
      </c>
      <c r="B21" s="2" t="s">
        <v>16</v>
      </c>
      <c r="C21" s="2" t="s">
        <v>11</v>
      </c>
      <c r="D21" s="2" t="s">
        <v>11</v>
      </c>
      <c r="E21" s="2" t="s">
        <v>11</v>
      </c>
      <c r="F21" s="2" t="s">
        <v>11</v>
      </c>
      <c r="G21" s="2" t="s">
        <v>11</v>
      </c>
      <c r="H21" s="3" t="s">
        <v>17</v>
      </c>
      <c r="K21" s="16"/>
    </row>
    <row r="22" spans="1:13">
      <c r="A22" t="s">
        <v>18</v>
      </c>
      <c r="B22" s="13">
        <v>39904</v>
      </c>
      <c r="C22" s="13">
        <v>38718</v>
      </c>
      <c r="D22" s="13">
        <v>39630</v>
      </c>
      <c r="E22" s="13">
        <v>39783</v>
      </c>
      <c r="F22" s="13">
        <v>40148</v>
      </c>
      <c r="G22" s="13">
        <v>40148</v>
      </c>
      <c r="K22" s="16"/>
    </row>
    <row r="23" spans="1:13">
      <c r="A23" t="s">
        <v>19</v>
      </c>
      <c r="B23" s="14" t="s">
        <v>22</v>
      </c>
      <c r="C23" s="14" t="s">
        <v>23</v>
      </c>
      <c r="D23" s="15" t="s">
        <v>25</v>
      </c>
      <c r="E23" s="15" t="s">
        <v>26</v>
      </c>
      <c r="F23" s="15" t="s">
        <v>27</v>
      </c>
      <c r="G23" s="15" t="s">
        <v>27</v>
      </c>
      <c r="K23" s="16"/>
    </row>
    <row r="24" spans="1:13">
      <c r="A24" t="s">
        <v>20</v>
      </c>
      <c r="B24" s="13">
        <v>72867</v>
      </c>
      <c r="C24" s="13">
        <v>72867</v>
      </c>
      <c r="D24" s="13">
        <v>41639</v>
      </c>
      <c r="E24" s="13">
        <v>41274</v>
      </c>
      <c r="F24" s="13">
        <v>41152</v>
      </c>
      <c r="G24" s="13">
        <v>41060</v>
      </c>
      <c r="K24" s="16"/>
    </row>
    <row r="25" spans="1:13">
      <c r="A25" t="s">
        <v>21</v>
      </c>
      <c r="B25" s="14" t="s">
        <v>23</v>
      </c>
      <c r="C25" s="14" t="s">
        <v>23</v>
      </c>
      <c r="D25" s="15" t="s">
        <v>28</v>
      </c>
      <c r="E25" s="15" t="s">
        <v>28</v>
      </c>
      <c r="F25" s="15" t="s">
        <v>29</v>
      </c>
      <c r="G25" s="15" t="s">
        <v>29</v>
      </c>
      <c r="K25" s="16"/>
    </row>
    <row r="26" spans="1:13">
      <c r="K26" s="16"/>
    </row>
    <row r="27" spans="1:13">
      <c r="A27" s="2" t="s">
        <v>30</v>
      </c>
      <c r="B27" s="8">
        <f>AVERAGE(B$74:B$85)</f>
        <v>1</v>
      </c>
      <c r="C27" s="8">
        <f t="shared" ref="C27:M27" si="5">AVERAGE(C$74:C$85)</f>
        <v>0.70900014890463392</v>
      </c>
      <c r="D27" s="8">
        <f t="shared" si="5"/>
        <v>0.18907639439030885</v>
      </c>
      <c r="E27" s="8">
        <f t="shared" si="5"/>
        <v>7.7123301726948618E-2</v>
      </c>
      <c r="F27" s="8">
        <f t="shared" si="5"/>
        <v>1.0689442030308799E-2</v>
      </c>
      <c r="G27" s="8">
        <f t="shared" si="5"/>
        <v>9.9773537847819751E-3</v>
      </c>
      <c r="H27" s="8">
        <f t="shared" si="5"/>
        <v>0.99586664083698173</v>
      </c>
      <c r="J27" s="8">
        <f t="shared" si="5"/>
        <v>0.99586664083698173</v>
      </c>
      <c r="K27" s="17">
        <f t="shared" si="5"/>
        <v>1.0000000000000004</v>
      </c>
      <c r="M27" s="17">
        <f t="shared" si="5"/>
        <v>0.99999999999999989</v>
      </c>
    </row>
    <row r="28" spans="1:13">
      <c r="K28" s="16"/>
    </row>
    <row r="29" spans="1:13">
      <c r="A29" s="4">
        <v>38718</v>
      </c>
      <c r="B29" s="8">
        <f t="shared" ref="B29:B60" si="6">IF($A29&gt;=B$22,IF($A29&lt;=B$24,1,B$20),B$20)</f>
        <v>0.95492226344330799</v>
      </c>
      <c r="C29" s="8">
        <f t="shared" ref="C29:G38" si="7">IF($A29&gt;=C$22,IF($A29&lt;=C$24,C$20,0),0)</f>
        <v>0.70900014890463381</v>
      </c>
      <c r="D29" s="8">
        <f t="shared" si="7"/>
        <v>0</v>
      </c>
      <c r="E29" s="8">
        <f t="shared" si="7"/>
        <v>0</v>
      </c>
      <c r="F29" s="8">
        <f t="shared" si="7"/>
        <v>0</v>
      </c>
      <c r="G29" s="8">
        <f t="shared" si="7"/>
        <v>0</v>
      </c>
      <c r="H29" s="8">
        <f>SUM(C29:G29)</f>
        <v>0.70900014890463381</v>
      </c>
      <c r="J29" s="8">
        <f>B29*H29</f>
        <v>0.67704002697365528</v>
      </c>
      <c r="K29" s="17">
        <f>J29/$J$27</f>
        <v>0.67985009157916287</v>
      </c>
      <c r="M29" s="17">
        <f>B29*C29/(B$27*C$27)</f>
        <v>0.95492226344330777</v>
      </c>
    </row>
    <row r="30" spans="1:13">
      <c r="A30" s="4">
        <v>38749</v>
      </c>
      <c r="B30" s="8">
        <f t="shared" si="6"/>
        <v>0.95492226344330799</v>
      </c>
      <c r="C30" s="8">
        <f t="shared" si="7"/>
        <v>0.70900014890463381</v>
      </c>
      <c r="D30" s="8">
        <f t="shared" si="7"/>
        <v>0</v>
      </c>
      <c r="E30" s="8">
        <f t="shared" si="7"/>
        <v>0</v>
      </c>
      <c r="F30" s="8">
        <f t="shared" si="7"/>
        <v>0</v>
      </c>
      <c r="G30" s="8">
        <f t="shared" si="7"/>
        <v>0</v>
      </c>
      <c r="H30" s="8">
        <f t="shared" ref="H30:H93" si="8">SUM(C30:G30)</f>
        <v>0.70900014890463381</v>
      </c>
      <c r="J30" s="8">
        <f t="shared" ref="J30:J93" si="9">B30*H30</f>
        <v>0.67704002697365528</v>
      </c>
      <c r="K30" s="17">
        <f t="shared" ref="K30:K93" si="10">J30/$J$27</f>
        <v>0.67985009157916287</v>
      </c>
      <c r="M30" s="17">
        <f t="shared" ref="M30:M93" si="11">B30*C30/(B$27*C$27)</f>
        <v>0.95492226344330777</v>
      </c>
    </row>
    <row r="31" spans="1:13">
      <c r="A31" s="4">
        <v>38777</v>
      </c>
      <c r="B31" s="8">
        <f t="shared" si="6"/>
        <v>0.95492226344330799</v>
      </c>
      <c r="C31" s="8">
        <f t="shared" si="7"/>
        <v>0.70900014890463381</v>
      </c>
      <c r="D31" s="8">
        <f t="shared" si="7"/>
        <v>0</v>
      </c>
      <c r="E31" s="8">
        <f t="shared" si="7"/>
        <v>0</v>
      </c>
      <c r="F31" s="8">
        <f t="shared" si="7"/>
        <v>0</v>
      </c>
      <c r="G31" s="8">
        <f t="shared" si="7"/>
        <v>0</v>
      </c>
      <c r="H31" s="8">
        <f t="shared" si="8"/>
        <v>0.70900014890463381</v>
      </c>
      <c r="J31" s="8">
        <f t="shared" si="9"/>
        <v>0.67704002697365528</v>
      </c>
      <c r="K31" s="17">
        <f t="shared" si="10"/>
        <v>0.67985009157916287</v>
      </c>
      <c r="M31" s="17">
        <f t="shared" si="11"/>
        <v>0.95492226344330777</v>
      </c>
    </row>
    <row r="32" spans="1:13">
      <c r="A32" s="4">
        <v>38808</v>
      </c>
      <c r="B32" s="8">
        <f t="shared" si="6"/>
        <v>0.95492226344330799</v>
      </c>
      <c r="C32" s="8">
        <f t="shared" si="7"/>
        <v>0.70900014890463381</v>
      </c>
      <c r="D32" s="8">
        <f t="shared" si="7"/>
        <v>0</v>
      </c>
      <c r="E32" s="8">
        <f t="shared" si="7"/>
        <v>0</v>
      </c>
      <c r="F32" s="8">
        <f t="shared" si="7"/>
        <v>0</v>
      </c>
      <c r="G32" s="8">
        <f t="shared" si="7"/>
        <v>0</v>
      </c>
      <c r="H32" s="8">
        <f t="shared" si="8"/>
        <v>0.70900014890463381</v>
      </c>
      <c r="J32" s="8">
        <f t="shared" si="9"/>
        <v>0.67704002697365528</v>
      </c>
      <c r="K32" s="17">
        <f t="shared" si="10"/>
        <v>0.67985009157916287</v>
      </c>
      <c r="M32" s="17">
        <f t="shared" si="11"/>
        <v>0.95492226344330777</v>
      </c>
    </row>
    <row r="33" spans="1:13">
      <c r="A33" s="4">
        <v>38838</v>
      </c>
      <c r="B33" s="8">
        <f t="shared" si="6"/>
        <v>0.95492226344330799</v>
      </c>
      <c r="C33" s="8">
        <f t="shared" si="7"/>
        <v>0.70900014890463381</v>
      </c>
      <c r="D33" s="8">
        <f t="shared" si="7"/>
        <v>0</v>
      </c>
      <c r="E33" s="8">
        <f t="shared" si="7"/>
        <v>0</v>
      </c>
      <c r="F33" s="8">
        <f t="shared" si="7"/>
        <v>0</v>
      </c>
      <c r="G33" s="8">
        <f t="shared" si="7"/>
        <v>0</v>
      </c>
      <c r="H33" s="8">
        <f t="shared" si="8"/>
        <v>0.70900014890463381</v>
      </c>
      <c r="J33" s="8">
        <f t="shared" si="9"/>
        <v>0.67704002697365528</v>
      </c>
      <c r="K33" s="17">
        <f t="shared" si="10"/>
        <v>0.67985009157916287</v>
      </c>
      <c r="M33" s="17">
        <f t="shared" si="11"/>
        <v>0.95492226344330777</v>
      </c>
    </row>
    <row r="34" spans="1:13">
      <c r="A34" s="4">
        <v>38869</v>
      </c>
      <c r="B34" s="8">
        <f t="shared" si="6"/>
        <v>0.95492226344330799</v>
      </c>
      <c r="C34" s="8">
        <f t="shared" si="7"/>
        <v>0.70900014890463381</v>
      </c>
      <c r="D34" s="8">
        <f t="shared" si="7"/>
        <v>0</v>
      </c>
      <c r="E34" s="8">
        <f t="shared" si="7"/>
        <v>0</v>
      </c>
      <c r="F34" s="8">
        <f t="shared" si="7"/>
        <v>0</v>
      </c>
      <c r="G34" s="8">
        <f t="shared" si="7"/>
        <v>0</v>
      </c>
      <c r="H34" s="8">
        <f t="shared" si="8"/>
        <v>0.70900014890463381</v>
      </c>
      <c r="J34" s="8">
        <f t="shared" si="9"/>
        <v>0.67704002697365528</v>
      </c>
      <c r="K34" s="17">
        <f t="shared" si="10"/>
        <v>0.67985009157916287</v>
      </c>
      <c r="M34" s="17">
        <f t="shared" si="11"/>
        <v>0.95492226344330777</v>
      </c>
    </row>
    <row r="35" spans="1:13">
      <c r="A35" s="4">
        <v>38899</v>
      </c>
      <c r="B35" s="8">
        <f t="shared" si="6"/>
        <v>0.95492226344330799</v>
      </c>
      <c r="C35" s="8">
        <f t="shared" si="7"/>
        <v>0.70900014890463381</v>
      </c>
      <c r="D35" s="8">
        <f t="shared" si="7"/>
        <v>0</v>
      </c>
      <c r="E35" s="8">
        <f t="shared" si="7"/>
        <v>0</v>
      </c>
      <c r="F35" s="8">
        <f t="shared" si="7"/>
        <v>0</v>
      </c>
      <c r="G35" s="8">
        <f t="shared" si="7"/>
        <v>0</v>
      </c>
      <c r="H35" s="8">
        <f t="shared" si="8"/>
        <v>0.70900014890463381</v>
      </c>
      <c r="J35" s="8">
        <f t="shared" si="9"/>
        <v>0.67704002697365528</v>
      </c>
      <c r="K35" s="17">
        <f t="shared" si="10"/>
        <v>0.67985009157916287</v>
      </c>
      <c r="M35" s="17">
        <f t="shared" si="11"/>
        <v>0.95492226344330777</v>
      </c>
    </row>
    <row r="36" spans="1:13">
      <c r="A36" s="4">
        <v>38930</v>
      </c>
      <c r="B36" s="8">
        <f t="shared" si="6"/>
        <v>0.95492226344330799</v>
      </c>
      <c r="C36" s="8">
        <f t="shared" si="7"/>
        <v>0.70900014890463381</v>
      </c>
      <c r="D36" s="8">
        <f t="shared" si="7"/>
        <v>0</v>
      </c>
      <c r="E36" s="8">
        <f t="shared" si="7"/>
        <v>0</v>
      </c>
      <c r="F36" s="8">
        <f t="shared" si="7"/>
        <v>0</v>
      </c>
      <c r="G36" s="8">
        <f t="shared" si="7"/>
        <v>0</v>
      </c>
      <c r="H36" s="8">
        <f t="shared" si="8"/>
        <v>0.70900014890463381</v>
      </c>
      <c r="J36" s="8">
        <f t="shared" si="9"/>
        <v>0.67704002697365528</v>
      </c>
      <c r="K36" s="17">
        <f t="shared" si="10"/>
        <v>0.67985009157916287</v>
      </c>
      <c r="M36" s="17">
        <f t="shared" si="11"/>
        <v>0.95492226344330777</v>
      </c>
    </row>
    <row r="37" spans="1:13">
      <c r="A37" s="4">
        <v>38961</v>
      </c>
      <c r="B37" s="8">
        <f t="shared" si="6"/>
        <v>0.95492226344330799</v>
      </c>
      <c r="C37" s="8">
        <f t="shared" si="7"/>
        <v>0.70900014890463381</v>
      </c>
      <c r="D37" s="8">
        <f t="shared" si="7"/>
        <v>0</v>
      </c>
      <c r="E37" s="8">
        <f t="shared" si="7"/>
        <v>0</v>
      </c>
      <c r="F37" s="8">
        <f t="shared" si="7"/>
        <v>0</v>
      </c>
      <c r="G37" s="8">
        <f t="shared" si="7"/>
        <v>0</v>
      </c>
      <c r="H37" s="8">
        <f t="shared" si="8"/>
        <v>0.70900014890463381</v>
      </c>
      <c r="J37" s="8">
        <f t="shared" si="9"/>
        <v>0.67704002697365528</v>
      </c>
      <c r="K37" s="17">
        <f t="shared" si="10"/>
        <v>0.67985009157916287</v>
      </c>
      <c r="M37" s="17">
        <f t="shared" si="11"/>
        <v>0.95492226344330777</v>
      </c>
    </row>
    <row r="38" spans="1:13">
      <c r="A38" s="4">
        <v>38991</v>
      </c>
      <c r="B38" s="8">
        <f t="shared" si="6"/>
        <v>0.95492226344330799</v>
      </c>
      <c r="C38" s="8">
        <f t="shared" si="7"/>
        <v>0.70900014890463381</v>
      </c>
      <c r="D38" s="8">
        <f t="shared" si="7"/>
        <v>0</v>
      </c>
      <c r="E38" s="8">
        <f t="shared" si="7"/>
        <v>0</v>
      </c>
      <c r="F38" s="8">
        <f t="shared" si="7"/>
        <v>0</v>
      </c>
      <c r="G38" s="8">
        <f t="shared" si="7"/>
        <v>0</v>
      </c>
      <c r="H38" s="8">
        <f t="shared" si="8"/>
        <v>0.70900014890463381</v>
      </c>
      <c r="J38" s="8">
        <f t="shared" si="9"/>
        <v>0.67704002697365528</v>
      </c>
      <c r="K38" s="17">
        <f t="shared" si="10"/>
        <v>0.67985009157916287</v>
      </c>
      <c r="M38" s="17">
        <f t="shared" si="11"/>
        <v>0.95492226344330777</v>
      </c>
    </row>
    <row r="39" spans="1:13">
      <c r="A39" s="4">
        <v>39022</v>
      </c>
      <c r="B39" s="8">
        <f t="shared" si="6"/>
        <v>0.95492226344330799</v>
      </c>
      <c r="C39" s="8">
        <f t="shared" ref="C39:G48" si="12">IF($A39&gt;=C$22,IF($A39&lt;=C$24,C$20,0),0)</f>
        <v>0.70900014890463381</v>
      </c>
      <c r="D39" s="8">
        <f t="shared" si="12"/>
        <v>0</v>
      </c>
      <c r="E39" s="8">
        <f t="shared" si="12"/>
        <v>0</v>
      </c>
      <c r="F39" s="8">
        <f t="shared" si="12"/>
        <v>0</v>
      </c>
      <c r="G39" s="8">
        <f t="shared" si="12"/>
        <v>0</v>
      </c>
      <c r="H39" s="8">
        <f t="shared" si="8"/>
        <v>0.70900014890463381</v>
      </c>
      <c r="J39" s="8">
        <f t="shared" si="9"/>
        <v>0.67704002697365528</v>
      </c>
      <c r="K39" s="17">
        <f t="shared" si="10"/>
        <v>0.67985009157916287</v>
      </c>
      <c r="M39" s="17">
        <f t="shared" si="11"/>
        <v>0.95492226344330777</v>
      </c>
    </row>
    <row r="40" spans="1:13">
      <c r="A40" s="4">
        <v>39052</v>
      </c>
      <c r="B40" s="8">
        <f t="shared" si="6"/>
        <v>0.95492226344330799</v>
      </c>
      <c r="C40" s="8">
        <f t="shared" si="12"/>
        <v>0.70900014890463381</v>
      </c>
      <c r="D40" s="8">
        <f t="shared" si="12"/>
        <v>0</v>
      </c>
      <c r="E40" s="8">
        <f t="shared" si="12"/>
        <v>0</v>
      </c>
      <c r="F40" s="8">
        <f t="shared" si="12"/>
        <v>0</v>
      </c>
      <c r="G40" s="8">
        <f t="shared" si="12"/>
        <v>0</v>
      </c>
      <c r="H40" s="8">
        <f t="shared" si="8"/>
        <v>0.70900014890463381</v>
      </c>
      <c r="J40" s="8">
        <f t="shared" si="9"/>
        <v>0.67704002697365528</v>
      </c>
      <c r="K40" s="17">
        <f t="shared" si="10"/>
        <v>0.67985009157916287</v>
      </c>
      <c r="M40" s="17">
        <f t="shared" si="11"/>
        <v>0.95492226344330777</v>
      </c>
    </row>
    <row r="41" spans="1:13">
      <c r="A41" s="4">
        <v>39083</v>
      </c>
      <c r="B41" s="8">
        <f t="shared" si="6"/>
        <v>0.95492226344330799</v>
      </c>
      <c r="C41" s="8">
        <f t="shared" si="12"/>
        <v>0.70900014890463381</v>
      </c>
      <c r="D41" s="8">
        <f t="shared" si="12"/>
        <v>0</v>
      </c>
      <c r="E41" s="8">
        <f t="shared" si="12"/>
        <v>0</v>
      </c>
      <c r="F41" s="8">
        <f t="shared" si="12"/>
        <v>0</v>
      </c>
      <c r="G41" s="8">
        <f t="shared" si="12"/>
        <v>0</v>
      </c>
      <c r="H41" s="8">
        <f t="shared" si="8"/>
        <v>0.70900014890463381</v>
      </c>
      <c r="J41" s="8">
        <f t="shared" si="9"/>
        <v>0.67704002697365528</v>
      </c>
      <c r="K41" s="17">
        <f t="shared" si="10"/>
        <v>0.67985009157916287</v>
      </c>
      <c r="M41" s="17">
        <f t="shared" si="11"/>
        <v>0.95492226344330777</v>
      </c>
    </row>
    <row r="42" spans="1:13">
      <c r="A42" s="4">
        <v>39114</v>
      </c>
      <c r="B42" s="8">
        <f t="shared" si="6"/>
        <v>0.95492226344330799</v>
      </c>
      <c r="C42" s="8">
        <f t="shared" si="12"/>
        <v>0.70900014890463381</v>
      </c>
      <c r="D42" s="8">
        <f t="shared" si="12"/>
        <v>0</v>
      </c>
      <c r="E42" s="8">
        <f t="shared" si="12"/>
        <v>0</v>
      </c>
      <c r="F42" s="8">
        <f t="shared" si="12"/>
        <v>0</v>
      </c>
      <c r="G42" s="8">
        <f t="shared" si="12"/>
        <v>0</v>
      </c>
      <c r="H42" s="8">
        <f t="shared" si="8"/>
        <v>0.70900014890463381</v>
      </c>
      <c r="J42" s="8">
        <f t="shared" si="9"/>
        <v>0.67704002697365528</v>
      </c>
      <c r="K42" s="17">
        <f t="shared" si="10"/>
        <v>0.67985009157916287</v>
      </c>
      <c r="M42" s="17">
        <f t="shared" si="11"/>
        <v>0.95492226344330777</v>
      </c>
    </row>
    <row r="43" spans="1:13">
      <c r="A43" s="4">
        <v>39142</v>
      </c>
      <c r="B43" s="8">
        <f t="shared" si="6"/>
        <v>0.95492226344330799</v>
      </c>
      <c r="C43" s="8">
        <f t="shared" si="12"/>
        <v>0.70900014890463381</v>
      </c>
      <c r="D43" s="8">
        <f t="shared" si="12"/>
        <v>0</v>
      </c>
      <c r="E43" s="8">
        <f t="shared" si="12"/>
        <v>0</v>
      </c>
      <c r="F43" s="8">
        <f t="shared" si="12"/>
        <v>0</v>
      </c>
      <c r="G43" s="8">
        <f t="shared" si="12"/>
        <v>0</v>
      </c>
      <c r="H43" s="8">
        <f t="shared" si="8"/>
        <v>0.70900014890463381</v>
      </c>
      <c r="J43" s="8">
        <f t="shared" si="9"/>
        <v>0.67704002697365528</v>
      </c>
      <c r="K43" s="17">
        <f t="shared" si="10"/>
        <v>0.67985009157916287</v>
      </c>
      <c r="M43" s="17">
        <f t="shared" si="11"/>
        <v>0.95492226344330777</v>
      </c>
    </row>
    <row r="44" spans="1:13">
      <c r="A44" s="4">
        <v>39173</v>
      </c>
      <c r="B44" s="8">
        <f t="shared" si="6"/>
        <v>0.95492226344330799</v>
      </c>
      <c r="C44" s="8">
        <f t="shared" si="12"/>
        <v>0.70900014890463381</v>
      </c>
      <c r="D44" s="8">
        <f t="shared" si="12"/>
        <v>0</v>
      </c>
      <c r="E44" s="8">
        <f t="shared" si="12"/>
        <v>0</v>
      </c>
      <c r="F44" s="8">
        <f t="shared" si="12"/>
        <v>0</v>
      </c>
      <c r="G44" s="8">
        <f t="shared" si="12"/>
        <v>0</v>
      </c>
      <c r="H44" s="8">
        <f t="shared" si="8"/>
        <v>0.70900014890463381</v>
      </c>
      <c r="J44" s="8">
        <f t="shared" si="9"/>
        <v>0.67704002697365528</v>
      </c>
      <c r="K44" s="17">
        <f t="shared" si="10"/>
        <v>0.67985009157916287</v>
      </c>
      <c r="M44" s="17">
        <f t="shared" si="11"/>
        <v>0.95492226344330777</v>
      </c>
    </row>
    <row r="45" spans="1:13">
      <c r="A45" s="4">
        <v>39203</v>
      </c>
      <c r="B45" s="8">
        <f t="shared" si="6"/>
        <v>0.95492226344330799</v>
      </c>
      <c r="C45" s="8">
        <f t="shared" si="12"/>
        <v>0.70900014890463381</v>
      </c>
      <c r="D45" s="8">
        <f t="shared" si="12"/>
        <v>0</v>
      </c>
      <c r="E45" s="8">
        <f t="shared" si="12"/>
        <v>0</v>
      </c>
      <c r="F45" s="8">
        <f t="shared" si="12"/>
        <v>0</v>
      </c>
      <c r="G45" s="8">
        <f t="shared" si="12"/>
        <v>0</v>
      </c>
      <c r="H45" s="8">
        <f t="shared" si="8"/>
        <v>0.70900014890463381</v>
      </c>
      <c r="J45" s="8">
        <f t="shared" si="9"/>
        <v>0.67704002697365528</v>
      </c>
      <c r="K45" s="17">
        <f t="shared" si="10"/>
        <v>0.67985009157916287</v>
      </c>
      <c r="M45" s="17">
        <f t="shared" si="11"/>
        <v>0.95492226344330777</v>
      </c>
    </row>
    <row r="46" spans="1:13">
      <c r="A46" s="4">
        <v>39234</v>
      </c>
      <c r="B46" s="8">
        <f t="shared" si="6"/>
        <v>0.95492226344330799</v>
      </c>
      <c r="C46" s="8">
        <f t="shared" si="12"/>
        <v>0.70900014890463381</v>
      </c>
      <c r="D46" s="8">
        <f t="shared" si="12"/>
        <v>0</v>
      </c>
      <c r="E46" s="8">
        <f t="shared" si="12"/>
        <v>0</v>
      </c>
      <c r="F46" s="8">
        <f t="shared" si="12"/>
        <v>0</v>
      </c>
      <c r="G46" s="8">
        <f t="shared" si="12"/>
        <v>0</v>
      </c>
      <c r="H46" s="8">
        <f t="shared" si="8"/>
        <v>0.70900014890463381</v>
      </c>
      <c r="J46" s="8">
        <f t="shared" si="9"/>
        <v>0.67704002697365528</v>
      </c>
      <c r="K46" s="17">
        <f t="shared" si="10"/>
        <v>0.67985009157916287</v>
      </c>
      <c r="M46" s="17">
        <f t="shared" si="11"/>
        <v>0.95492226344330777</v>
      </c>
    </row>
    <row r="47" spans="1:13">
      <c r="A47" s="4">
        <v>39264</v>
      </c>
      <c r="B47" s="8">
        <f t="shared" si="6"/>
        <v>0.95492226344330799</v>
      </c>
      <c r="C47" s="8">
        <f t="shared" si="12"/>
        <v>0.70900014890463381</v>
      </c>
      <c r="D47" s="8">
        <f t="shared" si="12"/>
        <v>0</v>
      </c>
      <c r="E47" s="8">
        <f t="shared" si="12"/>
        <v>0</v>
      </c>
      <c r="F47" s="8">
        <f t="shared" si="12"/>
        <v>0</v>
      </c>
      <c r="G47" s="8">
        <f t="shared" si="12"/>
        <v>0</v>
      </c>
      <c r="H47" s="8">
        <f t="shared" si="8"/>
        <v>0.70900014890463381</v>
      </c>
      <c r="J47" s="8">
        <f t="shared" si="9"/>
        <v>0.67704002697365528</v>
      </c>
      <c r="K47" s="17">
        <f t="shared" si="10"/>
        <v>0.67985009157916287</v>
      </c>
      <c r="M47" s="17">
        <f t="shared" si="11"/>
        <v>0.95492226344330777</v>
      </c>
    </row>
    <row r="48" spans="1:13">
      <c r="A48" s="4">
        <v>39295</v>
      </c>
      <c r="B48" s="8">
        <f t="shared" si="6"/>
        <v>0.95492226344330799</v>
      </c>
      <c r="C48" s="8">
        <f t="shared" si="12"/>
        <v>0.70900014890463381</v>
      </c>
      <c r="D48" s="8">
        <f t="shared" si="12"/>
        <v>0</v>
      </c>
      <c r="E48" s="8">
        <f t="shared" si="12"/>
        <v>0</v>
      </c>
      <c r="F48" s="8">
        <f t="shared" si="12"/>
        <v>0</v>
      </c>
      <c r="G48" s="8">
        <f t="shared" si="12"/>
        <v>0</v>
      </c>
      <c r="H48" s="8">
        <f t="shared" si="8"/>
        <v>0.70900014890463381</v>
      </c>
      <c r="J48" s="8">
        <f t="shared" si="9"/>
        <v>0.67704002697365528</v>
      </c>
      <c r="K48" s="17">
        <f t="shared" si="10"/>
        <v>0.67985009157916287</v>
      </c>
      <c r="M48" s="17">
        <f t="shared" si="11"/>
        <v>0.95492226344330777</v>
      </c>
    </row>
    <row r="49" spans="1:13">
      <c r="A49" s="4">
        <v>39326</v>
      </c>
      <c r="B49" s="8">
        <f t="shared" si="6"/>
        <v>0.95492226344330799</v>
      </c>
      <c r="C49" s="8">
        <f t="shared" ref="C49:G58" si="13">IF($A49&gt;=C$22,IF($A49&lt;=C$24,C$20,0),0)</f>
        <v>0.70900014890463381</v>
      </c>
      <c r="D49" s="8">
        <f t="shared" si="13"/>
        <v>0</v>
      </c>
      <c r="E49" s="8">
        <f t="shared" si="13"/>
        <v>0</v>
      </c>
      <c r="F49" s="8">
        <f t="shared" si="13"/>
        <v>0</v>
      </c>
      <c r="G49" s="8">
        <f t="shared" si="13"/>
        <v>0</v>
      </c>
      <c r="H49" s="8">
        <f t="shared" si="8"/>
        <v>0.70900014890463381</v>
      </c>
      <c r="J49" s="8">
        <f t="shared" si="9"/>
        <v>0.67704002697365528</v>
      </c>
      <c r="K49" s="17">
        <f t="shared" si="10"/>
        <v>0.67985009157916287</v>
      </c>
      <c r="M49" s="17">
        <f t="shared" si="11"/>
        <v>0.95492226344330777</v>
      </c>
    </row>
    <row r="50" spans="1:13">
      <c r="A50" s="4">
        <v>39356</v>
      </c>
      <c r="B50" s="8">
        <f t="shared" si="6"/>
        <v>0.95492226344330799</v>
      </c>
      <c r="C50" s="8">
        <f t="shared" si="13"/>
        <v>0.70900014890463381</v>
      </c>
      <c r="D50" s="8">
        <f t="shared" si="13"/>
        <v>0</v>
      </c>
      <c r="E50" s="8">
        <f t="shared" si="13"/>
        <v>0</v>
      </c>
      <c r="F50" s="8">
        <f t="shared" si="13"/>
        <v>0</v>
      </c>
      <c r="G50" s="8">
        <f t="shared" si="13"/>
        <v>0</v>
      </c>
      <c r="H50" s="8">
        <f t="shared" si="8"/>
        <v>0.70900014890463381</v>
      </c>
      <c r="J50" s="8">
        <f t="shared" si="9"/>
        <v>0.67704002697365528</v>
      </c>
      <c r="K50" s="17">
        <f t="shared" si="10"/>
        <v>0.67985009157916287</v>
      </c>
      <c r="M50" s="17">
        <f t="shared" si="11"/>
        <v>0.95492226344330777</v>
      </c>
    </row>
    <row r="51" spans="1:13">
      <c r="A51" s="4">
        <v>39387</v>
      </c>
      <c r="B51" s="8">
        <f t="shared" si="6"/>
        <v>0.95492226344330799</v>
      </c>
      <c r="C51" s="8">
        <f t="shared" si="13"/>
        <v>0.70900014890463381</v>
      </c>
      <c r="D51" s="8">
        <f t="shared" si="13"/>
        <v>0</v>
      </c>
      <c r="E51" s="8">
        <f t="shared" si="13"/>
        <v>0</v>
      </c>
      <c r="F51" s="8">
        <f t="shared" si="13"/>
        <v>0</v>
      </c>
      <c r="G51" s="8">
        <f t="shared" si="13"/>
        <v>0</v>
      </c>
      <c r="H51" s="8">
        <f t="shared" si="8"/>
        <v>0.70900014890463381</v>
      </c>
      <c r="J51" s="8">
        <f t="shared" si="9"/>
        <v>0.67704002697365528</v>
      </c>
      <c r="K51" s="17">
        <f t="shared" si="10"/>
        <v>0.67985009157916287</v>
      </c>
      <c r="M51" s="17">
        <f t="shared" si="11"/>
        <v>0.95492226344330777</v>
      </c>
    </row>
    <row r="52" spans="1:13">
      <c r="A52" s="4">
        <v>39417</v>
      </c>
      <c r="B52" s="8">
        <f t="shared" si="6"/>
        <v>0.95492226344330799</v>
      </c>
      <c r="C52" s="8">
        <f t="shared" si="13"/>
        <v>0.70900014890463381</v>
      </c>
      <c r="D52" s="8">
        <f t="shared" si="13"/>
        <v>0</v>
      </c>
      <c r="E52" s="8">
        <f t="shared" si="13"/>
        <v>0</v>
      </c>
      <c r="F52" s="8">
        <f t="shared" si="13"/>
        <v>0</v>
      </c>
      <c r="G52" s="8">
        <f t="shared" si="13"/>
        <v>0</v>
      </c>
      <c r="H52" s="8">
        <f t="shared" si="8"/>
        <v>0.70900014890463381</v>
      </c>
      <c r="J52" s="8">
        <f t="shared" si="9"/>
        <v>0.67704002697365528</v>
      </c>
      <c r="K52" s="17">
        <f t="shared" si="10"/>
        <v>0.67985009157916287</v>
      </c>
      <c r="M52" s="17">
        <f t="shared" si="11"/>
        <v>0.95492226344330777</v>
      </c>
    </row>
    <row r="53" spans="1:13">
      <c r="A53" s="4">
        <v>39448</v>
      </c>
      <c r="B53" s="8">
        <f t="shared" si="6"/>
        <v>0.95492226344330799</v>
      </c>
      <c r="C53" s="8">
        <f t="shared" si="13"/>
        <v>0.70900014890463381</v>
      </c>
      <c r="D53" s="8">
        <f t="shared" si="13"/>
        <v>0</v>
      </c>
      <c r="E53" s="8">
        <f t="shared" si="13"/>
        <v>0</v>
      </c>
      <c r="F53" s="8">
        <f t="shared" si="13"/>
        <v>0</v>
      </c>
      <c r="G53" s="8">
        <f t="shared" si="13"/>
        <v>0</v>
      </c>
      <c r="H53" s="8">
        <f t="shared" si="8"/>
        <v>0.70900014890463381</v>
      </c>
      <c r="J53" s="8">
        <f t="shared" si="9"/>
        <v>0.67704002697365528</v>
      </c>
      <c r="K53" s="17">
        <f t="shared" si="10"/>
        <v>0.67985009157916287</v>
      </c>
      <c r="M53" s="17">
        <f t="shared" si="11"/>
        <v>0.95492226344330777</v>
      </c>
    </row>
    <row r="54" spans="1:13">
      <c r="A54" s="4">
        <v>39479</v>
      </c>
      <c r="B54" s="8">
        <f t="shared" si="6"/>
        <v>0.95492226344330799</v>
      </c>
      <c r="C54" s="8">
        <f t="shared" si="13"/>
        <v>0.70900014890463381</v>
      </c>
      <c r="D54" s="8">
        <f t="shared" si="13"/>
        <v>0</v>
      </c>
      <c r="E54" s="8">
        <f t="shared" si="13"/>
        <v>0</v>
      </c>
      <c r="F54" s="8">
        <f t="shared" si="13"/>
        <v>0</v>
      </c>
      <c r="G54" s="8">
        <f t="shared" si="13"/>
        <v>0</v>
      </c>
      <c r="H54" s="8">
        <f t="shared" si="8"/>
        <v>0.70900014890463381</v>
      </c>
      <c r="J54" s="8">
        <f t="shared" si="9"/>
        <v>0.67704002697365528</v>
      </c>
      <c r="K54" s="17">
        <f t="shared" si="10"/>
        <v>0.67985009157916287</v>
      </c>
      <c r="M54" s="17">
        <f t="shared" si="11"/>
        <v>0.95492226344330777</v>
      </c>
    </row>
    <row r="55" spans="1:13">
      <c r="A55" s="4">
        <v>39508</v>
      </c>
      <c r="B55" s="8">
        <f t="shared" si="6"/>
        <v>0.95492226344330799</v>
      </c>
      <c r="C55" s="8">
        <f t="shared" si="13"/>
        <v>0.70900014890463381</v>
      </c>
      <c r="D55" s="8">
        <f t="shared" si="13"/>
        <v>0</v>
      </c>
      <c r="E55" s="8">
        <f t="shared" si="13"/>
        <v>0</v>
      </c>
      <c r="F55" s="8">
        <f t="shared" si="13"/>
        <v>0</v>
      </c>
      <c r="G55" s="8">
        <f t="shared" si="13"/>
        <v>0</v>
      </c>
      <c r="H55" s="8">
        <f t="shared" si="8"/>
        <v>0.70900014890463381</v>
      </c>
      <c r="J55" s="8">
        <f t="shared" si="9"/>
        <v>0.67704002697365528</v>
      </c>
      <c r="K55" s="17">
        <f t="shared" si="10"/>
        <v>0.67985009157916287</v>
      </c>
      <c r="M55" s="17">
        <f t="shared" si="11"/>
        <v>0.95492226344330777</v>
      </c>
    </row>
    <row r="56" spans="1:13">
      <c r="A56" s="4">
        <v>39539</v>
      </c>
      <c r="B56" s="8">
        <f t="shared" si="6"/>
        <v>0.95492226344330799</v>
      </c>
      <c r="C56" s="8">
        <f t="shared" si="13"/>
        <v>0.70900014890463381</v>
      </c>
      <c r="D56" s="8">
        <f t="shared" si="13"/>
        <v>0</v>
      </c>
      <c r="E56" s="8">
        <f t="shared" si="13"/>
        <v>0</v>
      </c>
      <c r="F56" s="8">
        <f t="shared" si="13"/>
        <v>0</v>
      </c>
      <c r="G56" s="8">
        <f t="shared" si="13"/>
        <v>0</v>
      </c>
      <c r="H56" s="8">
        <f t="shared" si="8"/>
        <v>0.70900014890463381</v>
      </c>
      <c r="J56" s="8">
        <f t="shared" si="9"/>
        <v>0.67704002697365528</v>
      </c>
      <c r="K56" s="17">
        <f t="shared" si="10"/>
        <v>0.67985009157916287</v>
      </c>
      <c r="M56" s="17">
        <f t="shared" si="11"/>
        <v>0.95492226344330777</v>
      </c>
    </row>
    <row r="57" spans="1:13">
      <c r="A57" s="4">
        <v>39569</v>
      </c>
      <c r="B57" s="8">
        <f t="shared" si="6"/>
        <v>0.95492226344330799</v>
      </c>
      <c r="C57" s="8">
        <f t="shared" si="13"/>
        <v>0.70900014890463381</v>
      </c>
      <c r="D57" s="8">
        <f t="shared" si="13"/>
        <v>0</v>
      </c>
      <c r="E57" s="8">
        <f t="shared" si="13"/>
        <v>0</v>
      </c>
      <c r="F57" s="8">
        <f t="shared" si="13"/>
        <v>0</v>
      </c>
      <c r="G57" s="8">
        <f t="shared" si="13"/>
        <v>0</v>
      </c>
      <c r="H57" s="8">
        <f t="shared" si="8"/>
        <v>0.70900014890463381</v>
      </c>
      <c r="J57" s="8">
        <f t="shared" si="9"/>
        <v>0.67704002697365528</v>
      </c>
      <c r="K57" s="17">
        <f t="shared" si="10"/>
        <v>0.67985009157916287</v>
      </c>
      <c r="M57" s="17">
        <f t="shared" si="11"/>
        <v>0.95492226344330777</v>
      </c>
    </row>
    <row r="58" spans="1:13">
      <c r="A58" s="4">
        <v>39600</v>
      </c>
      <c r="B58" s="8">
        <f t="shared" si="6"/>
        <v>0.95492226344330799</v>
      </c>
      <c r="C58" s="8">
        <f t="shared" si="13"/>
        <v>0.70900014890463381</v>
      </c>
      <c r="D58" s="8">
        <f t="shared" si="13"/>
        <v>0</v>
      </c>
      <c r="E58" s="8">
        <f t="shared" si="13"/>
        <v>0</v>
      </c>
      <c r="F58" s="8">
        <f t="shared" si="13"/>
        <v>0</v>
      </c>
      <c r="G58" s="8">
        <f t="shared" si="13"/>
        <v>0</v>
      </c>
      <c r="H58" s="8">
        <f t="shared" si="8"/>
        <v>0.70900014890463381</v>
      </c>
      <c r="J58" s="8">
        <f t="shared" si="9"/>
        <v>0.67704002697365528</v>
      </c>
      <c r="K58" s="17">
        <f t="shared" si="10"/>
        <v>0.67985009157916287</v>
      </c>
      <c r="M58" s="17">
        <f t="shared" si="11"/>
        <v>0.95492226344330777</v>
      </c>
    </row>
    <row r="59" spans="1:13">
      <c r="A59" s="4">
        <v>39630</v>
      </c>
      <c r="B59" s="8">
        <f t="shared" si="6"/>
        <v>0.95492226344330799</v>
      </c>
      <c r="C59" s="8">
        <f t="shared" ref="C59:G68" si="14">IF($A59&gt;=C$22,IF($A59&lt;=C$24,C$20,0),0)</f>
        <v>0.70900014890463381</v>
      </c>
      <c r="D59" s="8">
        <f t="shared" si="14"/>
        <v>0.18907639439030879</v>
      </c>
      <c r="E59" s="8">
        <f t="shared" si="14"/>
        <v>0</v>
      </c>
      <c r="F59" s="8">
        <f t="shared" si="14"/>
        <v>0</v>
      </c>
      <c r="G59" s="8">
        <f t="shared" si="14"/>
        <v>0</v>
      </c>
      <c r="H59" s="8">
        <f t="shared" si="8"/>
        <v>0.89807654329494258</v>
      </c>
      <c r="J59" s="8">
        <f t="shared" si="9"/>
        <v>0.85759328546854852</v>
      </c>
      <c r="K59" s="17">
        <f t="shared" si="10"/>
        <v>0.86115273903318967</v>
      </c>
      <c r="M59" s="17">
        <f t="shared" si="11"/>
        <v>0.95492226344330777</v>
      </c>
    </row>
    <row r="60" spans="1:13">
      <c r="A60" s="4">
        <v>39661</v>
      </c>
      <c r="B60" s="8">
        <f t="shared" si="6"/>
        <v>0.95492226344330799</v>
      </c>
      <c r="C60" s="8">
        <f t="shared" si="14"/>
        <v>0.70900014890463381</v>
      </c>
      <c r="D60" s="8">
        <f t="shared" si="14"/>
        <v>0.18907639439030879</v>
      </c>
      <c r="E60" s="8">
        <f t="shared" si="14"/>
        <v>0</v>
      </c>
      <c r="F60" s="8">
        <f t="shared" si="14"/>
        <v>0</v>
      </c>
      <c r="G60" s="8">
        <f t="shared" si="14"/>
        <v>0</v>
      </c>
      <c r="H60" s="8">
        <f t="shared" si="8"/>
        <v>0.89807654329494258</v>
      </c>
      <c r="J60" s="8">
        <f t="shared" si="9"/>
        <v>0.85759328546854852</v>
      </c>
      <c r="K60" s="17">
        <f t="shared" si="10"/>
        <v>0.86115273903318967</v>
      </c>
      <c r="M60" s="17">
        <f t="shared" si="11"/>
        <v>0.95492226344330777</v>
      </c>
    </row>
    <row r="61" spans="1:13">
      <c r="A61" s="4">
        <v>39692</v>
      </c>
      <c r="B61" s="8">
        <f t="shared" ref="B61:B92" si="15">IF($A61&gt;=B$22,IF($A61&lt;=B$24,1,B$20),B$20)</f>
        <v>0.95492226344330799</v>
      </c>
      <c r="C61" s="8">
        <f t="shared" si="14"/>
        <v>0.70900014890463381</v>
      </c>
      <c r="D61" s="8">
        <f t="shared" si="14"/>
        <v>0.18907639439030879</v>
      </c>
      <c r="E61" s="8">
        <f t="shared" si="14"/>
        <v>0</v>
      </c>
      <c r="F61" s="8">
        <f t="shared" si="14"/>
        <v>0</v>
      </c>
      <c r="G61" s="8">
        <f t="shared" si="14"/>
        <v>0</v>
      </c>
      <c r="H61" s="8">
        <f t="shared" si="8"/>
        <v>0.89807654329494258</v>
      </c>
      <c r="J61" s="8">
        <f t="shared" si="9"/>
        <v>0.85759328546854852</v>
      </c>
      <c r="K61" s="17">
        <f t="shared" si="10"/>
        <v>0.86115273903318967</v>
      </c>
      <c r="M61" s="17">
        <f t="shared" si="11"/>
        <v>0.95492226344330777</v>
      </c>
    </row>
    <row r="62" spans="1:13">
      <c r="A62" s="4">
        <v>39722</v>
      </c>
      <c r="B62" s="8">
        <f t="shared" si="15"/>
        <v>0.95492226344330799</v>
      </c>
      <c r="C62" s="8">
        <f t="shared" si="14"/>
        <v>0.70900014890463381</v>
      </c>
      <c r="D62" s="8">
        <f t="shared" si="14"/>
        <v>0.18907639439030879</v>
      </c>
      <c r="E62" s="8">
        <f t="shared" si="14"/>
        <v>0</v>
      </c>
      <c r="F62" s="8">
        <f t="shared" si="14"/>
        <v>0</v>
      </c>
      <c r="G62" s="8">
        <f t="shared" si="14"/>
        <v>0</v>
      </c>
      <c r="H62" s="8">
        <f t="shared" si="8"/>
        <v>0.89807654329494258</v>
      </c>
      <c r="J62" s="8">
        <f t="shared" si="9"/>
        <v>0.85759328546854852</v>
      </c>
      <c r="K62" s="17">
        <f t="shared" si="10"/>
        <v>0.86115273903318967</v>
      </c>
      <c r="M62" s="17">
        <f t="shared" si="11"/>
        <v>0.95492226344330777</v>
      </c>
    </row>
    <row r="63" spans="1:13">
      <c r="A63" s="4">
        <v>39753</v>
      </c>
      <c r="B63" s="8">
        <f t="shared" si="15"/>
        <v>0.95492226344330799</v>
      </c>
      <c r="C63" s="8">
        <f t="shared" si="14"/>
        <v>0.70900014890463381</v>
      </c>
      <c r="D63" s="8">
        <f t="shared" si="14"/>
        <v>0.18907639439030879</v>
      </c>
      <c r="E63" s="8">
        <f t="shared" si="14"/>
        <v>0</v>
      </c>
      <c r="F63" s="8">
        <f t="shared" si="14"/>
        <v>0</v>
      </c>
      <c r="G63" s="8">
        <f t="shared" si="14"/>
        <v>0</v>
      </c>
      <c r="H63" s="8">
        <f t="shared" si="8"/>
        <v>0.89807654329494258</v>
      </c>
      <c r="J63" s="8">
        <f t="shared" si="9"/>
        <v>0.85759328546854852</v>
      </c>
      <c r="K63" s="17">
        <f t="shared" si="10"/>
        <v>0.86115273903318967</v>
      </c>
      <c r="M63" s="17">
        <f t="shared" si="11"/>
        <v>0.95492226344330777</v>
      </c>
    </row>
    <row r="64" spans="1:13">
      <c r="A64" s="4">
        <v>39783</v>
      </c>
      <c r="B64" s="8">
        <f t="shared" si="15"/>
        <v>0.95492226344330799</v>
      </c>
      <c r="C64" s="8">
        <f t="shared" si="14"/>
        <v>0.70900014890463381</v>
      </c>
      <c r="D64" s="8">
        <f t="shared" si="14"/>
        <v>0.18907639439030879</v>
      </c>
      <c r="E64" s="8">
        <f t="shared" si="14"/>
        <v>7.7123301726948632E-2</v>
      </c>
      <c r="F64" s="8">
        <f t="shared" si="14"/>
        <v>0</v>
      </c>
      <c r="G64" s="8">
        <f t="shared" si="14"/>
        <v>0</v>
      </c>
      <c r="H64" s="8">
        <f t="shared" si="8"/>
        <v>0.97519984502189117</v>
      </c>
      <c r="J64" s="8">
        <f t="shared" si="9"/>
        <v>0.93124004331786747</v>
      </c>
      <c r="K64" s="17">
        <f t="shared" si="10"/>
        <v>0.93510516883586092</v>
      </c>
      <c r="M64" s="17">
        <f t="shared" si="11"/>
        <v>0.95492226344330777</v>
      </c>
    </row>
    <row r="65" spans="1:13">
      <c r="A65" s="4">
        <v>39814</v>
      </c>
      <c r="B65" s="8">
        <f t="shared" si="15"/>
        <v>0.95492226344330799</v>
      </c>
      <c r="C65" s="8">
        <f t="shared" si="14"/>
        <v>0.70900014890463381</v>
      </c>
      <c r="D65" s="8">
        <f t="shared" si="14"/>
        <v>0.18907639439030879</v>
      </c>
      <c r="E65" s="8">
        <f t="shared" si="14"/>
        <v>7.7123301726948632E-2</v>
      </c>
      <c r="F65" s="8">
        <f t="shared" si="14"/>
        <v>0</v>
      </c>
      <c r="G65" s="8">
        <f t="shared" si="14"/>
        <v>0</v>
      </c>
      <c r="H65" s="8">
        <f t="shared" si="8"/>
        <v>0.97519984502189117</v>
      </c>
      <c r="J65" s="8">
        <f t="shared" si="9"/>
        <v>0.93124004331786747</v>
      </c>
      <c r="K65" s="17">
        <f t="shared" si="10"/>
        <v>0.93510516883586092</v>
      </c>
      <c r="M65" s="17">
        <f t="shared" si="11"/>
        <v>0.95492226344330777</v>
      </c>
    </row>
    <row r="66" spans="1:13">
      <c r="A66" s="4">
        <v>39845</v>
      </c>
      <c r="B66" s="8">
        <f t="shared" si="15"/>
        <v>0.95492226344330799</v>
      </c>
      <c r="C66" s="8">
        <f t="shared" si="14"/>
        <v>0.70900014890463381</v>
      </c>
      <c r="D66" s="8">
        <f t="shared" si="14"/>
        <v>0.18907639439030879</v>
      </c>
      <c r="E66" s="8">
        <f t="shared" si="14"/>
        <v>7.7123301726948632E-2</v>
      </c>
      <c r="F66" s="8">
        <f t="shared" si="14"/>
        <v>0</v>
      </c>
      <c r="G66" s="8">
        <f t="shared" si="14"/>
        <v>0</v>
      </c>
      <c r="H66" s="8">
        <f t="shared" si="8"/>
        <v>0.97519984502189117</v>
      </c>
      <c r="J66" s="8">
        <f t="shared" si="9"/>
        <v>0.93124004331786747</v>
      </c>
      <c r="K66" s="17">
        <f t="shared" si="10"/>
        <v>0.93510516883586092</v>
      </c>
      <c r="M66" s="17">
        <f t="shared" si="11"/>
        <v>0.95492226344330777</v>
      </c>
    </row>
    <row r="67" spans="1:13">
      <c r="A67" s="4">
        <v>39873</v>
      </c>
      <c r="B67" s="8">
        <f t="shared" si="15"/>
        <v>0.95492226344330799</v>
      </c>
      <c r="C67" s="8">
        <f t="shared" si="14"/>
        <v>0.70900014890463381</v>
      </c>
      <c r="D67" s="8">
        <f t="shared" si="14"/>
        <v>0.18907639439030879</v>
      </c>
      <c r="E67" s="8">
        <f t="shared" si="14"/>
        <v>7.7123301726948632E-2</v>
      </c>
      <c r="F67" s="8">
        <f t="shared" si="14"/>
        <v>0</v>
      </c>
      <c r="G67" s="8">
        <f t="shared" si="14"/>
        <v>0</v>
      </c>
      <c r="H67" s="8">
        <f t="shared" si="8"/>
        <v>0.97519984502189117</v>
      </c>
      <c r="J67" s="8">
        <f t="shared" si="9"/>
        <v>0.93124004331786747</v>
      </c>
      <c r="K67" s="17">
        <f t="shared" si="10"/>
        <v>0.93510516883586092</v>
      </c>
      <c r="M67" s="17">
        <f t="shared" si="11"/>
        <v>0.95492226344330777</v>
      </c>
    </row>
    <row r="68" spans="1:13">
      <c r="A68" s="4">
        <v>39904</v>
      </c>
      <c r="B68" s="8">
        <f t="shared" si="15"/>
        <v>1</v>
      </c>
      <c r="C68" s="8">
        <f t="shared" si="14"/>
        <v>0.70900014890463381</v>
      </c>
      <c r="D68" s="8">
        <f t="shared" si="14"/>
        <v>0.18907639439030879</v>
      </c>
      <c r="E68" s="8">
        <f t="shared" si="14"/>
        <v>7.7123301726948632E-2</v>
      </c>
      <c r="F68" s="8">
        <f t="shared" si="14"/>
        <v>0</v>
      </c>
      <c r="G68" s="8">
        <f t="shared" si="14"/>
        <v>0</v>
      </c>
      <c r="H68" s="8">
        <f t="shared" si="8"/>
        <v>0.97519984502189117</v>
      </c>
      <c r="J68" s="8">
        <f t="shared" si="9"/>
        <v>0.97519984502189117</v>
      </c>
      <c r="K68" s="17">
        <f t="shared" si="10"/>
        <v>0.97924742634443396</v>
      </c>
      <c r="M68" s="17">
        <f t="shared" si="11"/>
        <v>0.99999999999999989</v>
      </c>
    </row>
    <row r="69" spans="1:13">
      <c r="A69" s="4">
        <v>39934</v>
      </c>
      <c r="B69" s="8">
        <f t="shared" si="15"/>
        <v>1</v>
      </c>
      <c r="C69" s="8">
        <f t="shared" ref="C69:G78" si="16">IF($A69&gt;=C$22,IF($A69&lt;=C$24,C$20,0),0)</f>
        <v>0.70900014890463381</v>
      </c>
      <c r="D69" s="8">
        <f t="shared" si="16"/>
        <v>0.18907639439030879</v>
      </c>
      <c r="E69" s="8">
        <f t="shared" si="16"/>
        <v>7.7123301726948632E-2</v>
      </c>
      <c r="F69" s="8">
        <f t="shared" si="16"/>
        <v>0</v>
      </c>
      <c r="G69" s="8">
        <f t="shared" si="16"/>
        <v>0</v>
      </c>
      <c r="H69" s="8">
        <f t="shared" si="8"/>
        <v>0.97519984502189117</v>
      </c>
      <c r="J69" s="8">
        <f t="shared" si="9"/>
        <v>0.97519984502189117</v>
      </c>
      <c r="K69" s="17">
        <f t="shared" si="10"/>
        <v>0.97924742634443396</v>
      </c>
      <c r="M69" s="17">
        <f t="shared" si="11"/>
        <v>0.99999999999999989</v>
      </c>
    </row>
    <row r="70" spans="1:13">
      <c r="A70" s="4">
        <v>39965</v>
      </c>
      <c r="B70" s="8">
        <f t="shared" si="15"/>
        <v>1</v>
      </c>
      <c r="C70" s="8">
        <f t="shared" si="16"/>
        <v>0.70900014890463381</v>
      </c>
      <c r="D70" s="8">
        <f t="shared" si="16"/>
        <v>0.18907639439030879</v>
      </c>
      <c r="E70" s="8">
        <f t="shared" si="16"/>
        <v>7.7123301726948632E-2</v>
      </c>
      <c r="F70" s="8">
        <f t="shared" si="16"/>
        <v>0</v>
      </c>
      <c r="G70" s="8">
        <f t="shared" si="16"/>
        <v>0</v>
      </c>
      <c r="H70" s="8">
        <f t="shared" si="8"/>
        <v>0.97519984502189117</v>
      </c>
      <c r="J70" s="8">
        <f t="shared" si="9"/>
        <v>0.97519984502189117</v>
      </c>
      <c r="K70" s="17">
        <f t="shared" si="10"/>
        <v>0.97924742634443396</v>
      </c>
      <c r="M70" s="17">
        <f t="shared" si="11"/>
        <v>0.99999999999999989</v>
      </c>
    </row>
    <row r="71" spans="1:13">
      <c r="A71" s="4">
        <v>39995</v>
      </c>
      <c r="B71" s="8">
        <f t="shared" si="15"/>
        <v>1</v>
      </c>
      <c r="C71" s="8">
        <f t="shared" si="16"/>
        <v>0.70900014890463381</v>
      </c>
      <c r="D71" s="8">
        <f t="shared" si="16"/>
        <v>0.18907639439030879</v>
      </c>
      <c r="E71" s="8">
        <f t="shared" si="16"/>
        <v>7.7123301726948632E-2</v>
      </c>
      <c r="F71" s="8">
        <f t="shared" si="16"/>
        <v>0</v>
      </c>
      <c r="G71" s="8">
        <f t="shared" si="16"/>
        <v>0</v>
      </c>
      <c r="H71" s="8">
        <f t="shared" si="8"/>
        <v>0.97519984502189117</v>
      </c>
      <c r="J71" s="8">
        <f t="shared" si="9"/>
        <v>0.97519984502189117</v>
      </c>
      <c r="K71" s="17">
        <f t="shared" si="10"/>
        <v>0.97924742634443396</v>
      </c>
      <c r="M71" s="17">
        <f t="shared" si="11"/>
        <v>0.99999999999999989</v>
      </c>
    </row>
    <row r="72" spans="1:13">
      <c r="A72" s="4">
        <v>40026</v>
      </c>
      <c r="B72" s="8">
        <f t="shared" si="15"/>
        <v>1</v>
      </c>
      <c r="C72" s="8">
        <f t="shared" si="16"/>
        <v>0.70900014890463381</v>
      </c>
      <c r="D72" s="8">
        <f t="shared" si="16"/>
        <v>0.18907639439030879</v>
      </c>
      <c r="E72" s="8">
        <f t="shared" si="16"/>
        <v>7.7123301726948632E-2</v>
      </c>
      <c r="F72" s="8">
        <f t="shared" si="16"/>
        <v>0</v>
      </c>
      <c r="G72" s="8">
        <f t="shared" si="16"/>
        <v>0</v>
      </c>
      <c r="H72" s="8">
        <f t="shared" si="8"/>
        <v>0.97519984502189117</v>
      </c>
      <c r="J72" s="8">
        <f t="shared" si="9"/>
        <v>0.97519984502189117</v>
      </c>
      <c r="K72" s="17">
        <f t="shared" si="10"/>
        <v>0.97924742634443396</v>
      </c>
      <c r="M72" s="17">
        <f t="shared" si="11"/>
        <v>0.99999999999999989</v>
      </c>
    </row>
    <row r="73" spans="1:13">
      <c r="A73" s="4">
        <v>40057</v>
      </c>
      <c r="B73" s="8">
        <f t="shared" si="15"/>
        <v>1</v>
      </c>
      <c r="C73" s="8">
        <f t="shared" si="16"/>
        <v>0.70900014890463381</v>
      </c>
      <c r="D73" s="8">
        <f t="shared" si="16"/>
        <v>0.18907639439030879</v>
      </c>
      <c r="E73" s="8">
        <f t="shared" si="16"/>
        <v>7.7123301726948632E-2</v>
      </c>
      <c r="F73" s="8">
        <f t="shared" si="16"/>
        <v>0</v>
      </c>
      <c r="G73" s="8">
        <f t="shared" si="16"/>
        <v>0</v>
      </c>
      <c r="H73" s="8">
        <f t="shared" si="8"/>
        <v>0.97519984502189117</v>
      </c>
      <c r="J73" s="8">
        <f t="shared" si="9"/>
        <v>0.97519984502189117</v>
      </c>
      <c r="K73" s="17">
        <f t="shared" si="10"/>
        <v>0.97924742634443396</v>
      </c>
      <c r="M73" s="17">
        <f t="shared" si="11"/>
        <v>0.99999999999999989</v>
      </c>
    </row>
    <row r="74" spans="1:13">
      <c r="A74" s="4">
        <v>40087</v>
      </c>
      <c r="B74" s="8">
        <f t="shared" si="15"/>
        <v>1</v>
      </c>
      <c r="C74" s="8">
        <f t="shared" si="16"/>
        <v>0.70900014890463381</v>
      </c>
      <c r="D74" s="8">
        <f t="shared" si="16"/>
        <v>0.18907639439030879</v>
      </c>
      <c r="E74" s="8">
        <f t="shared" si="16"/>
        <v>7.7123301726948632E-2</v>
      </c>
      <c r="F74" s="8">
        <f t="shared" si="16"/>
        <v>0</v>
      </c>
      <c r="G74" s="8">
        <f t="shared" si="16"/>
        <v>0</v>
      </c>
      <c r="H74" s="8">
        <f t="shared" si="8"/>
        <v>0.97519984502189117</v>
      </c>
      <c r="J74" s="8">
        <f t="shared" si="9"/>
        <v>0.97519984502189117</v>
      </c>
      <c r="K74" s="17">
        <f t="shared" si="10"/>
        <v>0.97924742634443396</v>
      </c>
      <c r="M74" s="17">
        <f t="shared" si="11"/>
        <v>0.99999999999999989</v>
      </c>
    </row>
    <row r="75" spans="1:13">
      <c r="A75" s="4">
        <v>40118</v>
      </c>
      <c r="B75" s="8">
        <f t="shared" si="15"/>
        <v>1</v>
      </c>
      <c r="C75" s="8">
        <f t="shared" si="16"/>
        <v>0.70900014890463381</v>
      </c>
      <c r="D75" s="8">
        <f t="shared" si="16"/>
        <v>0.18907639439030879</v>
      </c>
      <c r="E75" s="8">
        <f t="shared" si="16"/>
        <v>7.7123301726948632E-2</v>
      </c>
      <c r="F75" s="8">
        <f t="shared" si="16"/>
        <v>0</v>
      </c>
      <c r="G75" s="8">
        <f t="shared" si="16"/>
        <v>0</v>
      </c>
      <c r="H75" s="8">
        <f t="shared" si="8"/>
        <v>0.97519984502189117</v>
      </c>
      <c r="J75" s="8">
        <f t="shared" si="9"/>
        <v>0.97519984502189117</v>
      </c>
      <c r="K75" s="17">
        <f t="shared" si="10"/>
        <v>0.97924742634443396</v>
      </c>
      <c r="M75" s="17">
        <f t="shared" si="11"/>
        <v>0.99999999999999989</v>
      </c>
    </row>
    <row r="76" spans="1:13">
      <c r="A76" s="4">
        <v>40148</v>
      </c>
      <c r="B76" s="8">
        <f t="shared" si="15"/>
        <v>1</v>
      </c>
      <c r="C76" s="8">
        <f t="shared" si="16"/>
        <v>0.70900014890463381</v>
      </c>
      <c r="D76" s="8">
        <f t="shared" si="16"/>
        <v>0.18907639439030879</v>
      </c>
      <c r="E76" s="8">
        <f t="shared" si="16"/>
        <v>7.7123301726948632E-2</v>
      </c>
      <c r="F76" s="8">
        <f t="shared" si="16"/>
        <v>1.2827330436370557E-2</v>
      </c>
      <c r="G76" s="8">
        <f t="shared" si="16"/>
        <v>1.1972824541738369E-2</v>
      </c>
      <c r="H76" s="8">
        <f t="shared" si="8"/>
        <v>1</v>
      </c>
      <c r="J76" s="8">
        <f t="shared" si="9"/>
        <v>1</v>
      </c>
      <c r="K76" s="17">
        <f t="shared" si="10"/>
        <v>1.0041505147311134</v>
      </c>
      <c r="M76" s="17">
        <f t="shared" si="11"/>
        <v>0.99999999999999989</v>
      </c>
    </row>
    <row r="77" spans="1:13">
      <c r="A77" s="4">
        <v>40179</v>
      </c>
      <c r="B77" s="8">
        <f t="shared" si="15"/>
        <v>1</v>
      </c>
      <c r="C77" s="8">
        <f t="shared" si="16"/>
        <v>0.70900014890463381</v>
      </c>
      <c r="D77" s="8">
        <f t="shared" si="16"/>
        <v>0.18907639439030879</v>
      </c>
      <c r="E77" s="8">
        <f t="shared" si="16"/>
        <v>7.7123301726948632E-2</v>
      </c>
      <c r="F77" s="8">
        <f t="shared" si="16"/>
        <v>1.2827330436370557E-2</v>
      </c>
      <c r="G77" s="8">
        <f t="shared" si="16"/>
        <v>1.1972824541738369E-2</v>
      </c>
      <c r="H77" s="8">
        <f t="shared" si="8"/>
        <v>1</v>
      </c>
      <c r="J77" s="8">
        <f t="shared" si="9"/>
        <v>1</v>
      </c>
      <c r="K77" s="17">
        <f t="shared" si="10"/>
        <v>1.0041505147311134</v>
      </c>
      <c r="M77" s="17">
        <f t="shared" si="11"/>
        <v>0.99999999999999989</v>
      </c>
    </row>
    <row r="78" spans="1:13">
      <c r="A78" s="4">
        <v>40210</v>
      </c>
      <c r="B78" s="8">
        <f t="shared" si="15"/>
        <v>1</v>
      </c>
      <c r="C78" s="8">
        <f t="shared" si="16"/>
        <v>0.70900014890463381</v>
      </c>
      <c r="D78" s="8">
        <f t="shared" si="16"/>
        <v>0.18907639439030879</v>
      </c>
      <c r="E78" s="8">
        <f t="shared" si="16"/>
        <v>7.7123301726948632E-2</v>
      </c>
      <c r="F78" s="8">
        <f t="shared" si="16"/>
        <v>1.2827330436370557E-2</v>
      </c>
      <c r="G78" s="8">
        <f t="shared" si="16"/>
        <v>1.1972824541738369E-2</v>
      </c>
      <c r="H78" s="8">
        <f t="shared" si="8"/>
        <v>1</v>
      </c>
      <c r="J78" s="8">
        <f t="shared" si="9"/>
        <v>1</v>
      </c>
      <c r="K78" s="17">
        <f t="shared" si="10"/>
        <v>1.0041505147311134</v>
      </c>
      <c r="M78" s="17">
        <f t="shared" si="11"/>
        <v>0.99999999999999989</v>
      </c>
    </row>
    <row r="79" spans="1:13">
      <c r="A79" s="4">
        <v>40238</v>
      </c>
      <c r="B79" s="8">
        <f t="shared" si="15"/>
        <v>1</v>
      </c>
      <c r="C79" s="8">
        <f t="shared" ref="C79:G88" si="17">IF($A79&gt;=C$22,IF($A79&lt;=C$24,C$20,0),0)</f>
        <v>0.70900014890463381</v>
      </c>
      <c r="D79" s="8">
        <f t="shared" si="17"/>
        <v>0.18907639439030879</v>
      </c>
      <c r="E79" s="8">
        <f t="shared" si="17"/>
        <v>7.7123301726948632E-2</v>
      </c>
      <c r="F79" s="8">
        <f t="shared" si="17"/>
        <v>1.2827330436370557E-2</v>
      </c>
      <c r="G79" s="8">
        <f t="shared" si="17"/>
        <v>1.1972824541738369E-2</v>
      </c>
      <c r="H79" s="8">
        <f t="shared" si="8"/>
        <v>1</v>
      </c>
      <c r="J79" s="8">
        <f t="shared" si="9"/>
        <v>1</v>
      </c>
      <c r="K79" s="17">
        <f t="shared" si="10"/>
        <v>1.0041505147311134</v>
      </c>
      <c r="M79" s="17">
        <f t="shared" si="11"/>
        <v>0.99999999999999989</v>
      </c>
    </row>
    <row r="80" spans="1:13">
      <c r="A80" s="4">
        <v>40269</v>
      </c>
      <c r="B80" s="8">
        <f t="shared" si="15"/>
        <v>1</v>
      </c>
      <c r="C80" s="8">
        <f t="shared" si="17"/>
        <v>0.70900014890463381</v>
      </c>
      <c r="D80" s="8">
        <f t="shared" si="17"/>
        <v>0.18907639439030879</v>
      </c>
      <c r="E80" s="8">
        <f t="shared" si="17"/>
        <v>7.7123301726948632E-2</v>
      </c>
      <c r="F80" s="8">
        <f t="shared" si="17"/>
        <v>1.2827330436370557E-2</v>
      </c>
      <c r="G80" s="8">
        <f t="shared" si="17"/>
        <v>1.1972824541738369E-2</v>
      </c>
      <c r="H80" s="8">
        <f t="shared" si="8"/>
        <v>1</v>
      </c>
      <c r="J80" s="8">
        <f t="shared" si="9"/>
        <v>1</v>
      </c>
      <c r="K80" s="17">
        <f t="shared" si="10"/>
        <v>1.0041505147311134</v>
      </c>
      <c r="M80" s="17">
        <f t="shared" si="11"/>
        <v>0.99999999999999989</v>
      </c>
    </row>
    <row r="81" spans="1:13">
      <c r="A81" s="4">
        <v>40299</v>
      </c>
      <c r="B81" s="8">
        <f t="shared" si="15"/>
        <v>1</v>
      </c>
      <c r="C81" s="8">
        <f t="shared" si="17"/>
        <v>0.70900014890463381</v>
      </c>
      <c r="D81" s="8">
        <f t="shared" si="17"/>
        <v>0.18907639439030879</v>
      </c>
      <c r="E81" s="8">
        <f t="shared" si="17"/>
        <v>7.7123301726948632E-2</v>
      </c>
      <c r="F81" s="8">
        <f t="shared" si="17"/>
        <v>1.2827330436370557E-2</v>
      </c>
      <c r="G81" s="8">
        <f t="shared" si="17"/>
        <v>1.1972824541738369E-2</v>
      </c>
      <c r="H81" s="8">
        <f t="shared" si="8"/>
        <v>1</v>
      </c>
      <c r="J81" s="8">
        <f t="shared" si="9"/>
        <v>1</v>
      </c>
      <c r="K81" s="17">
        <f t="shared" si="10"/>
        <v>1.0041505147311134</v>
      </c>
      <c r="M81" s="17">
        <f t="shared" si="11"/>
        <v>0.99999999999999989</v>
      </c>
    </row>
    <row r="82" spans="1:13">
      <c r="A82" s="4">
        <v>40330</v>
      </c>
      <c r="B82" s="8">
        <f t="shared" si="15"/>
        <v>1</v>
      </c>
      <c r="C82" s="8">
        <f t="shared" si="17"/>
        <v>0.70900014890463381</v>
      </c>
      <c r="D82" s="8">
        <f t="shared" si="17"/>
        <v>0.18907639439030879</v>
      </c>
      <c r="E82" s="8">
        <f t="shared" si="17"/>
        <v>7.7123301726948632E-2</v>
      </c>
      <c r="F82" s="8">
        <f t="shared" si="17"/>
        <v>1.2827330436370557E-2</v>
      </c>
      <c r="G82" s="8">
        <f t="shared" si="17"/>
        <v>1.1972824541738369E-2</v>
      </c>
      <c r="H82" s="8">
        <f t="shared" si="8"/>
        <v>1</v>
      </c>
      <c r="J82" s="8">
        <f t="shared" si="9"/>
        <v>1</v>
      </c>
      <c r="K82" s="17">
        <f t="shared" si="10"/>
        <v>1.0041505147311134</v>
      </c>
      <c r="M82" s="17">
        <f t="shared" si="11"/>
        <v>0.99999999999999989</v>
      </c>
    </row>
    <row r="83" spans="1:13">
      <c r="A83" s="4">
        <v>40360</v>
      </c>
      <c r="B83" s="8">
        <f t="shared" si="15"/>
        <v>1</v>
      </c>
      <c r="C83" s="8">
        <f t="shared" si="17"/>
        <v>0.70900014890463381</v>
      </c>
      <c r="D83" s="8">
        <f t="shared" si="17"/>
        <v>0.18907639439030879</v>
      </c>
      <c r="E83" s="8">
        <f t="shared" si="17"/>
        <v>7.7123301726948632E-2</v>
      </c>
      <c r="F83" s="8">
        <f t="shared" si="17"/>
        <v>1.2827330436370557E-2</v>
      </c>
      <c r="G83" s="8">
        <f t="shared" si="17"/>
        <v>1.1972824541738369E-2</v>
      </c>
      <c r="H83" s="8">
        <f t="shared" si="8"/>
        <v>1</v>
      </c>
      <c r="J83" s="8">
        <f t="shared" si="9"/>
        <v>1</v>
      </c>
      <c r="K83" s="17">
        <f t="shared" si="10"/>
        <v>1.0041505147311134</v>
      </c>
      <c r="M83" s="17">
        <f t="shared" si="11"/>
        <v>0.99999999999999989</v>
      </c>
    </row>
    <row r="84" spans="1:13">
      <c r="A84" s="4">
        <v>40391</v>
      </c>
      <c r="B84" s="8">
        <f t="shared" si="15"/>
        <v>1</v>
      </c>
      <c r="C84" s="8">
        <f t="shared" si="17"/>
        <v>0.70900014890463381</v>
      </c>
      <c r="D84" s="8">
        <f t="shared" si="17"/>
        <v>0.18907639439030879</v>
      </c>
      <c r="E84" s="8">
        <f t="shared" si="17"/>
        <v>7.7123301726948632E-2</v>
      </c>
      <c r="F84" s="8">
        <f t="shared" si="17"/>
        <v>1.2827330436370557E-2</v>
      </c>
      <c r="G84" s="8">
        <f t="shared" si="17"/>
        <v>1.1972824541738369E-2</v>
      </c>
      <c r="H84" s="8">
        <f t="shared" si="8"/>
        <v>1</v>
      </c>
      <c r="J84" s="8">
        <f t="shared" si="9"/>
        <v>1</v>
      </c>
      <c r="K84" s="17">
        <f t="shared" si="10"/>
        <v>1.0041505147311134</v>
      </c>
      <c r="M84" s="17">
        <f t="shared" si="11"/>
        <v>0.99999999999999989</v>
      </c>
    </row>
    <row r="85" spans="1:13">
      <c r="A85" s="4">
        <v>40422</v>
      </c>
      <c r="B85" s="8">
        <f t="shared" si="15"/>
        <v>1</v>
      </c>
      <c r="C85" s="8">
        <f t="shared" si="17"/>
        <v>0.70900014890463381</v>
      </c>
      <c r="D85" s="8">
        <f t="shared" si="17"/>
        <v>0.18907639439030879</v>
      </c>
      <c r="E85" s="8">
        <f t="shared" si="17"/>
        <v>7.7123301726948632E-2</v>
      </c>
      <c r="F85" s="8">
        <f t="shared" si="17"/>
        <v>1.2827330436370557E-2</v>
      </c>
      <c r="G85" s="8">
        <f t="shared" si="17"/>
        <v>1.1972824541738369E-2</v>
      </c>
      <c r="H85" s="8">
        <f t="shared" si="8"/>
        <v>1</v>
      </c>
      <c r="J85" s="8">
        <f t="shared" si="9"/>
        <v>1</v>
      </c>
      <c r="K85" s="17">
        <f t="shared" si="10"/>
        <v>1.0041505147311134</v>
      </c>
      <c r="M85" s="17">
        <f t="shared" si="11"/>
        <v>0.99999999999999989</v>
      </c>
    </row>
    <row r="86" spans="1:13">
      <c r="A86" s="4">
        <v>40452</v>
      </c>
      <c r="B86" s="8">
        <f t="shared" si="15"/>
        <v>1</v>
      </c>
      <c r="C86" s="8">
        <f t="shared" si="17"/>
        <v>0.70900014890463381</v>
      </c>
      <c r="D86" s="8">
        <f t="shared" si="17"/>
        <v>0.18907639439030879</v>
      </c>
      <c r="E86" s="8">
        <f t="shared" si="17"/>
        <v>7.7123301726948632E-2</v>
      </c>
      <c r="F86" s="8">
        <f t="shared" si="17"/>
        <v>1.2827330436370557E-2</v>
      </c>
      <c r="G86" s="8">
        <f t="shared" si="17"/>
        <v>1.1972824541738369E-2</v>
      </c>
      <c r="H86" s="8">
        <f t="shared" si="8"/>
        <v>1</v>
      </c>
      <c r="J86" s="8">
        <f t="shared" si="9"/>
        <v>1</v>
      </c>
      <c r="K86" s="17">
        <f t="shared" si="10"/>
        <v>1.0041505147311134</v>
      </c>
      <c r="M86" s="17">
        <f t="shared" si="11"/>
        <v>0.99999999999999989</v>
      </c>
    </row>
    <row r="87" spans="1:13">
      <c r="A87" s="4">
        <v>40483</v>
      </c>
      <c r="B87" s="8">
        <f t="shared" si="15"/>
        <v>1</v>
      </c>
      <c r="C87" s="8">
        <f t="shared" si="17"/>
        <v>0.70900014890463381</v>
      </c>
      <c r="D87" s="8">
        <f t="shared" si="17"/>
        <v>0.18907639439030879</v>
      </c>
      <c r="E87" s="8">
        <f t="shared" si="17"/>
        <v>7.7123301726948632E-2</v>
      </c>
      <c r="F87" s="8">
        <f t="shared" si="17"/>
        <v>1.2827330436370557E-2</v>
      </c>
      <c r="G87" s="8">
        <f t="shared" si="17"/>
        <v>1.1972824541738369E-2</v>
      </c>
      <c r="H87" s="8">
        <f t="shared" si="8"/>
        <v>1</v>
      </c>
      <c r="J87" s="8">
        <f t="shared" si="9"/>
        <v>1</v>
      </c>
      <c r="K87" s="17">
        <f t="shared" si="10"/>
        <v>1.0041505147311134</v>
      </c>
      <c r="M87" s="17">
        <f t="shared" si="11"/>
        <v>0.99999999999999989</v>
      </c>
    </row>
    <row r="88" spans="1:13">
      <c r="A88" s="4">
        <v>40513</v>
      </c>
      <c r="B88" s="8">
        <f t="shared" si="15"/>
        <v>1</v>
      </c>
      <c r="C88" s="8">
        <f t="shared" si="17"/>
        <v>0.70900014890463381</v>
      </c>
      <c r="D88" s="8">
        <f t="shared" si="17"/>
        <v>0.18907639439030879</v>
      </c>
      <c r="E88" s="8">
        <f t="shared" si="17"/>
        <v>7.7123301726948632E-2</v>
      </c>
      <c r="F88" s="8">
        <f t="shared" si="17"/>
        <v>1.2827330436370557E-2</v>
      </c>
      <c r="G88" s="8">
        <f t="shared" si="17"/>
        <v>1.1972824541738369E-2</v>
      </c>
      <c r="H88" s="8">
        <f t="shared" si="8"/>
        <v>1</v>
      </c>
      <c r="J88" s="8">
        <f t="shared" si="9"/>
        <v>1</v>
      </c>
      <c r="K88" s="17">
        <f t="shared" si="10"/>
        <v>1.0041505147311134</v>
      </c>
      <c r="M88" s="17">
        <f t="shared" si="11"/>
        <v>0.99999999999999989</v>
      </c>
    </row>
    <row r="89" spans="1:13">
      <c r="A89" s="4">
        <v>40544</v>
      </c>
      <c r="B89" s="8">
        <f t="shared" si="15"/>
        <v>1</v>
      </c>
      <c r="C89" s="8">
        <f t="shared" ref="C89:G98" si="18">IF($A89&gt;=C$22,IF($A89&lt;=C$24,C$20,0),0)</f>
        <v>0.70900014890463381</v>
      </c>
      <c r="D89" s="8">
        <f t="shared" si="18"/>
        <v>0.18907639439030879</v>
      </c>
      <c r="E89" s="8">
        <f t="shared" si="18"/>
        <v>7.7123301726948632E-2</v>
      </c>
      <c r="F89" s="8">
        <f t="shared" si="18"/>
        <v>1.2827330436370557E-2</v>
      </c>
      <c r="G89" s="8">
        <f t="shared" si="18"/>
        <v>1.1972824541738369E-2</v>
      </c>
      <c r="H89" s="8">
        <f t="shared" si="8"/>
        <v>1</v>
      </c>
      <c r="J89" s="8">
        <f t="shared" si="9"/>
        <v>1</v>
      </c>
      <c r="K89" s="17">
        <f t="shared" si="10"/>
        <v>1.0041505147311134</v>
      </c>
      <c r="M89" s="17">
        <f t="shared" si="11"/>
        <v>0.99999999999999989</v>
      </c>
    </row>
    <row r="90" spans="1:13">
      <c r="A90" s="4">
        <v>40575</v>
      </c>
      <c r="B90" s="8">
        <f t="shared" si="15"/>
        <v>1</v>
      </c>
      <c r="C90" s="8">
        <f t="shared" si="18"/>
        <v>0.70900014890463381</v>
      </c>
      <c r="D90" s="8">
        <f t="shared" si="18"/>
        <v>0.18907639439030879</v>
      </c>
      <c r="E90" s="8">
        <f t="shared" si="18"/>
        <v>7.7123301726948632E-2</v>
      </c>
      <c r="F90" s="8">
        <f t="shared" si="18"/>
        <v>1.2827330436370557E-2</v>
      </c>
      <c r="G90" s="8">
        <f t="shared" si="18"/>
        <v>1.1972824541738369E-2</v>
      </c>
      <c r="H90" s="8">
        <f t="shared" si="8"/>
        <v>1</v>
      </c>
      <c r="J90" s="8">
        <f t="shared" si="9"/>
        <v>1</v>
      </c>
      <c r="K90" s="17">
        <f t="shared" si="10"/>
        <v>1.0041505147311134</v>
      </c>
      <c r="M90" s="17">
        <f t="shared" si="11"/>
        <v>0.99999999999999989</v>
      </c>
    </row>
    <row r="91" spans="1:13">
      <c r="A91" s="4">
        <v>40603</v>
      </c>
      <c r="B91" s="8">
        <f t="shared" si="15"/>
        <v>1</v>
      </c>
      <c r="C91" s="8">
        <f t="shared" si="18"/>
        <v>0.70900014890463381</v>
      </c>
      <c r="D91" s="8">
        <f t="shared" si="18"/>
        <v>0.18907639439030879</v>
      </c>
      <c r="E91" s="8">
        <f t="shared" si="18"/>
        <v>7.7123301726948632E-2</v>
      </c>
      <c r="F91" s="8">
        <f t="shared" si="18"/>
        <v>1.2827330436370557E-2</v>
      </c>
      <c r="G91" s="8">
        <f t="shared" si="18"/>
        <v>1.1972824541738369E-2</v>
      </c>
      <c r="H91" s="8">
        <f t="shared" si="8"/>
        <v>1</v>
      </c>
      <c r="J91" s="8">
        <f t="shared" si="9"/>
        <v>1</v>
      </c>
      <c r="K91" s="17">
        <f t="shared" si="10"/>
        <v>1.0041505147311134</v>
      </c>
      <c r="M91" s="17">
        <f t="shared" si="11"/>
        <v>0.99999999999999989</v>
      </c>
    </row>
    <row r="92" spans="1:13">
      <c r="A92" s="4">
        <v>40634</v>
      </c>
      <c r="B92" s="8">
        <f t="shared" si="15"/>
        <v>1</v>
      </c>
      <c r="C92" s="8">
        <f t="shared" si="18"/>
        <v>0.70900014890463381</v>
      </c>
      <c r="D92" s="8">
        <f t="shared" si="18"/>
        <v>0.18907639439030879</v>
      </c>
      <c r="E92" s="8">
        <f t="shared" si="18"/>
        <v>7.7123301726948632E-2</v>
      </c>
      <c r="F92" s="8">
        <f t="shared" si="18"/>
        <v>1.2827330436370557E-2</v>
      </c>
      <c r="G92" s="8">
        <f t="shared" si="18"/>
        <v>1.1972824541738369E-2</v>
      </c>
      <c r="H92" s="8">
        <f t="shared" si="8"/>
        <v>1</v>
      </c>
      <c r="J92" s="8">
        <f t="shared" si="9"/>
        <v>1</v>
      </c>
      <c r="K92" s="17">
        <f t="shared" si="10"/>
        <v>1.0041505147311134</v>
      </c>
      <c r="M92" s="17">
        <f t="shared" si="11"/>
        <v>0.99999999999999989</v>
      </c>
    </row>
    <row r="93" spans="1:13">
      <c r="A93" s="4">
        <v>40664</v>
      </c>
      <c r="B93" s="8">
        <f t="shared" ref="B93:B124" si="19">IF($A93&gt;=B$22,IF($A93&lt;=B$24,1,B$20),B$20)</f>
        <v>1</v>
      </c>
      <c r="C93" s="8">
        <f t="shared" si="18"/>
        <v>0.70900014890463381</v>
      </c>
      <c r="D93" s="8">
        <f t="shared" si="18"/>
        <v>0.18907639439030879</v>
      </c>
      <c r="E93" s="8">
        <f t="shared" si="18"/>
        <v>7.7123301726948632E-2</v>
      </c>
      <c r="F93" s="8">
        <f t="shared" si="18"/>
        <v>1.2827330436370557E-2</v>
      </c>
      <c r="G93" s="8">
        <f t="shared" si="18"/>
        <v>1.1972824541738369E-2</v>
      </c>
      <c r="H93" s="8">
        <f t="shared" si="8"/>
        <v>1</v>
      </c>
      <c r="J93" s="8">
        <f t="shared" si="9"/>
        <v>1</v>
      </c>
      <c r="K93" s="17">
        <f t="shared" si="10"/>
        <v>1.0041505147311134</v>
      </c>
      <c r="M93" s="17">
        <f t="shared" si="11"/>
        <v>0.99999999999999989</v>
      </c>
    </row>
    <row r="94" spans="1:13">
      <c r="A94" s="4">
        <v>40695</v>
      </c>
      <c r="B94" s="8">
        <f t="shared" si="19"/>
        <v>1</v>
      </c>
      <c r="C94" s="8">
        <f t="shared" si="18"/>
        <v>0.70900014890463381</v>
      </c>
      <c r="D94" s="8">
        <f t="shared" si="18"/>
        <v>0.18907639439030879</v>
      </c>
      <c r="E94" s="8">
        <f t="shared" si="18"/>
        <v>7.7123301726948632E-2</v>
      </c>
      <c r="F94" s="8">
        <f t="shared" si="18"/>
        <v>1.2827330436370557E-2</v>
      </c>
      <c r="G94" s="8">
        <f t="shared" si="18"/>
        <v>1.1972824541738369E-2</v>
      </c>
      <c r="H94" s="8">
        <f t="shared" ref="H94:H103" si="20">SUM(C94:G94)</f>
        <v>1</v>
      </c>
      <c r="J94" s="8">
        <f t="shared" ref="J94:J103" si="21">B94*H94</f>
        <v>1</v>
      </c>
      <c r="K94" s="17">
        <f t="shared" ref="K94:K136" si="22">J94/$J$27</f>
        <v>1.0041505147311134</v>
      </c>
      <c r="M94" s="17">
        <f t="shared" ref="M94:M136" si="23">B94*C94/(B$27*C$27)</f>
        <v>0.99999999999999989</v>
      </c>
    </row>
    <row r="95" spans="1:13">
      <c r="A95" s="4">
        <v>40725</v>
      </c>
      <c r="B95" s="8">
        <f t="shared" si="19"/>
        <v>1</v>
      </c>
      <c r="C95" s="8">
        <f t="shared" si="18"/>
        <v>0.70900014890463381</v>
      </c>
      <c r="D95" s="8">
        <f t="shared" si="18"/>
        <v>0.18907639439030879</v>
      </c>
      <c r="E95" s="8">
        <f t="shared" si="18"/>
        <v>7.7123301726948632E-2</v>
      </c>
      <c r="F95" s="8">
        <f t="shared" si="18"/>
        <v>1.2827330436370557E-2</v>
      </c>
      <c r="G95" s="8">
        <f t="shared" si="18"/>
        <v>1.1972824541738369E-2</v>
      </c>
      <c r="H95" s="8">
        <f t="shared" si="20"/>
        <v>1</v>
      </c>
      <c r="J95" s="8">
        <f t="shared" si="21"/>
        <v>1</v>
      </c>
      <c r="K95" s="17">
        <f t="shared" si="22"/>
        <v>1.0041505147311134</v>
      </c>
      <c r="M95" s="17">
        <f t="shared" si="23"/>
        <v>0.99999999999999989</v>
      </c>
    </row>
    <row r="96" spans="1:13">
      <c r="A96" s="4">
        <v>40756</v>
      </c>
      <c r="B96" s="8">
        <f t="shared" si="19"/>
        <v>1</v>
      </c>
      <c r="C96" s="8">
        <f t="shared" si="18"/>
        <v>0.70900014890463381</v>
      </c>
      <c r="D96" s="8">
        <f t="shared" si="18"/>
        <v>0.18907639439030879</v>
      </c>
      <c r="E96" s="8">
        <f t="shared" si="18"/>
        <v>7.7123301726948632E-2</v>
      </c>
      <c r="F96" s="8">
        <f t="shared" si="18"/>
        <v>1.2827330436370557E-2</v>
      </c>
      <c r="G96" s="8">
        <f t="shared" si="18"/>
        <v>1.1972824541738369E-2</v>
      </c>
      <c r="H96" s="8">
        <f t="shared" si="20"/>
        <v>1</v>
      </c>
      <c r="J96" s="8">
        <f t="shared" si="21"/>
        <v>1</v>
      </c>
      <c r="K96" s="17">
        <f t="shared" si="22"/>
        <v>1.0041505147311134</v>
      </c>
      <c r="M96" s="17">
        <f t="shared" si="23"/>
        <v>0.99999999999999989</v>
      </c>
    </row>
    <row r="97" spans="1:13">
      <c r="A97" s="4">
        <v>40787</v>
      </c>
      <c r="B97" s="8">
        <f t="shared" si="19"/>
        <v>1</v>
      </c>
      <c r="C97" s="8">
        <f t="shared" si="18"/>
        <v>0.70900014890463381</v>
      </c>
      <c r="D97" s="8">
        <f t="shared" si="18"/>
        <v>0.18907639439030879</v>
      </c>
      <c r="E97" s="8">
        <f t="shared" si="18"/>
        <v>7.7123301726948632E-2</v>
      </c>
      <c r="F97" s="8">
        <f t="shared" si="18"/>
        <v>1.2827330436370557E-2</v>
      </c>
      <c r="G97" s="8">
        <f t="shared" si="18"/>
        <v>1.1972824541738369E-2</v>
      </c>
      <c r="H97" s="8">
        <f t="shared" si="20"/>
        <v>1</v>
      </c>
      <c r="J97" s="8">
        <f t="shared" si="21"/>
        <v>1</v>
      </c>
      <c r="K97" s="17">
        <f t="shared" si="22"/>
        <v>1.0041505147311134</v>
      </c>
      <c r="M97" s="17">
        <f t="shared" si="23"/>
        <v>0.99999999999999989</v>
      </c>
    </row>
    <row r="98" spans="1:13">
      <c r="A98" s="4">
        <v>40817</v>
      </c>
      <c r="B98" s="8">
        <f t="shared" si="19"/>
        <v>1</v>
      </c>
      <c r="C98" s="8">
        <f t="shared" si="18"/>
        <v>0.70900014890463381</v>
      </c>
      <c r="D98" s="8">
        <f t="shared" si="18"/>
        <v>0.18907639439030879</v>
      </c>
      <c r="E98" s="8">
        <f t="shared" si="18"/>
        <v>7.7123301726948632E-2</v>
      </c>
      <c r="F98" s="8">
        <f t="shared" si="18"/>
        <v>1.2827330436370557E-2</v>
      </c>
      <c r="G98" s="8">
        <f t="shared" si="18"/>
        <v>1.1972824541738369E-2</v>
      </c>
      <c r="H98" s="8">
        <f t="shared" si="20"/>
        <v>1</v>
      </c>
      <c r="J98" s="8">
        <f t="shared" si="21"/>
        <v>1</v>
      </c>
      <c r="K98" s="17">
        <f t="shared" si="22"/>
        <v>1.0041505147311134</v>
      </c>
      <c r="M98" s="17">
        <f t="shared" si="23"/>
        <v>0.99999999999999989</v>
      </c>
    </row>
    <row r="99" spans="1:13">
      <c r="A99" s="4">
        <v>40848</v>
      </c>
      <c r="B99" s="8">
        <f t="shared" si="19"/>
        <v>1</v>
      </c>
      <c r="C99" s="8">
        <f t="shared" ref="C99:G108" si="24">IF($A99&gt;=C$22,IF($A99&lt;=C$24,C$20,0),0)</f>
        <v>0.70900014890463381</v>
      </c>
      <c r="D99" s="8">
        <f t="shared" si="24"/>
        <v>0.18907639439030879</v>
      </c>
      <c r="E99" s="8">
        <f t="shared" si="24"/>
        <v>7.7123301726948632E-2</v>
      </c>
      <c r="F99" s="8">
        <f t="shared" si="24"/>
        <v>1.2827330436370557E-2</v>
      </c>
      <c r="G99" s="8">
        <f t="shared" si="24"/>
        <v>1.1972824541738369E-2</v>
      </c>
      <c r="H99" s="8">
        <f t="shared" si="20"/>
        <v>1</v>
      </c>
      <c r="J99" s="8">
        <f t="shared" si="21"/>
        <v>1</v>
      </c>
      <c r="K99" s="17">
        <f t="shared" si="22"/>
        <v>1.0041505147311134</v>
      </c>
      <c r="M99" s="17">
        <f t="shared" si="23"/>
        <v>0.99999999999999989</v>
      </c>
    </row>
    <row r="100" spans="1:13">
      <c r="A100" s="4">
        <v>40878</v>
      </c>
      <c r="B100" s="8">
        <f t="shared" si="19"/>
        <v>1</v>
      </c>
      <c r="C100" s="8">
        <f t="shared" si="24"/>
        <v>0.70900014890463381</v>
      </c>
      <c r="D100" s="8">
        <f t="shared" si="24"/>
        <v>0.18907639439030879</v>
      </c>
      <c r="E100" s="8">
        <f t="shared" si="24"/>
        <v>7.7123301726948632E-2</v>
      </c>
      <c r="F100" s="8">
        <f t="shared" si="24"/>
        <v>1.2827330436370557E-2</v>
      </c>
      <c r="G100" s="8">
        <f t="shared" si="24"/>
        <v>1.1972824541738369E-2</v>
      </c>
      <c r="H100" s="8">
        <f t="shared" si="20"/>
        <v>1</v>
      </c>
      <c r="J100" s="8">
        <f t="shared" si="21"/>
        <v>1</v>
      </c>
      <c r="K100" s="17">
        <f t="shared" si="22"/>
        <v>1.0041505147311134</v>
      </c>
      <c r="M100" s="17">
        <f t="shared" si="23"/>
        <v>0.99999999999999989</v>
      </c>
    </row>
    <row r="101" spans="1:13">
      <c r="A101" s="4">
        <v>40909</v>
      </c>
      <c r="B101" s="8">
        <f t="shared" si="19"/>
        <v>1</v>
      </c>
      <c r="C101" s="8">
        <f t="shared" si="24"/>
        <v>0.70900014890463381</v>
      </c>
      <c r="D101" s="8">
        <f t="shared" si="24"/>
        <v>0.18907639439030879</v>
      </c>
      <c r="E101" s="8">
        <f t="shared" si="24"/>
        <v>7.7123301726948632E-2</v>
      </c>
      <c r="F101" s="8">
        <f t="shared" si="24"/>
        <v>1.2827330436370557E-2</v>
      </c>
      <c r="G101" s="8">
        <f t="shared" si="24"/>
        <v>1.1972824541738369E-2</v>
      </c>
      <c r="H101" s="8">
        <f t="shared" si="20"/>
        <v>1</v>
      </c>
      <c r="J101" s="8">
        <f t="shared" si="21"/>
        <v>1</v>
      </c>
      <c r="K101" s="17">
        <f t="shared" si="22"/>
        <v>1.0041505147311134</v>
      </c>
      <c r="M101" s="17">
        <f t="shared" si="23"/>
        <v>0.99999999999999989</v>
      </c>
    </row>
    <row r="102" spans="1:13">
      <c r="A102" s="4">
        <v>40940</v>
      </c>
      <c r="B102" s="8">
        <f t="shared" si="19"/>
        <v>1</v>
      </c>
      <c r="C102" s="8">
        <f t="shared" si="24"/>
        <v>0.70900014890463381</v>
      </c>
      <c r="D102" s="8">
        <f t="shared" si="24"/>
        <v>0.18907639439030879</v>
      </c>
      <c r="E102" s="8">
        <f t="shared" si="24"/>
        <v>7.7123301726948632E-2</v>
      </c>
      <c r="F102" s="8">
        <f t="shared" si="24"/>
        <v>1.2827330436370557E-2</v>
      </c>
      <c r="G102" s="8">
        <f t="shared" si="24"/>
        <v>1.1972824541738369E-2</v>
      </c>
      <c r="H102" s="8">
        <f t="shared" si="20"/>
        <v>1</v>
      </c>
      <c r="J102" s="8">
        <f t="shared" si="21"/>
        <v>1</v>
      </c>
      <c r="K102" s="17">
        <f t="shared" si="22"/>
        <v>1.0041505147311134</v>
      </c>
      <c r="M102" s="17">
        <f t="shared" si="23"/>
        <v>0.99999999999999989</v>
      </c>
    </row>
    <row r="103" spans="1:13">
      <c r="A103" s="4">
        <v>40969</v>
      </c>
      <c r="B103" s="8">
        <f t="shared" si="19"/>
        <v>1</v>
      </c>
      <c r="C103" s="8">
        <f t="shared" si="24"/>
        <v>0.70900014890463381</v>
      </c>
      <c r="D103" s="8">
        <f t="shared" si="24"/>
        <v>0.18907639439030879</v>
      </c>
      <c r="E103" s="8">
        <f t="shared" si="24"/>
        <v>7.7123301726948632E-2</v>
      </c>
      <c r="F103" s="8">
        <f t="shared" si="24"/>
        <v>1.2827330436370557E-2</v>
      </c>
      <c r="G103" s="8">
        <f t="shared" si="24"/>
        <v>1.1972824541738369E-2</v>
      </c>
      <c r="H103" s="8">
        <f t="shared" si="20"/>
        <v>1</v>
      </c>
      <c r="J103" s="8">
        <f t="shared" si="21"/>
        <v>1</v>
      </c>
      <c r="K103" s="17">
        <f t="shared" si="22"/>
        <v>1.0041505147311134</v>
      </c>
      <c r="M103" s="17">
        <f t="shared" si="23"/>
        <v>0.99999999999999989</v>
      </c>
    </row>
    <row r="104" spans="1:13">
      <c r="A104" s="4">
        <v>41000</v>
      </c>
      <c r="B104" s="8">
        <f t="shared" si="19"/>
        <v>1</v>
      </c>
      <c r="C104" s="8">
        <f t="shared" si="24"/>
        <v>0.70900014890463381</v>
      </c>
      <c r="D104" s="8">
        <f t="shared" si="24"/>
        <v>0.18907639439030879</v>
      </c>
      <c r="E104" s="8">
        <f t="shared" si="24"/>
        <v>7.7123301726948632E-2</v>
      </c>
      <c r="F104" s="8">
        <f t="shared" si="24"/>
        <v>1.2827330436370557E-2</v>
      </c>
      <c r="G104" s="8">
        <f t="shared" si="24"/>
        <v>1.1972824541738369E-2</v>
      </c>
      <c r="H104" s="8">
        <f t="shared" ref="H104:H136" si="25">SUM(C104:G104)</f>
        <v>1</v>
      </c>
      <c r="J104" s="8">
        <f t="shared" ref="J104:J136" si="26">B104*H104</f>
        <v>1</v>
      </c>
      <c r="K104" s="17">
        <f t="shared" si="22"/>
        <v>1.0041505147311134</v>
      </c>
      <c r="M104" s="17">
        <f t="shared" si="23"/>
        <v>0.99999999999999989</v>
      </c>
    </row>
    <row r="105" spans="1:13">
      <c r="A105" s="4">
        <v>41030</v>
      </c>
      <c r="B105" s="8">
        <f t="shared" si="19"/>
        <v>1</v>
      </c>
      <c r="C105" s="8">
        <f t="shared" si="24"/>
        <v>0.70900014890463381</v>
      </c>
      <c r="D105" s="8">
        <f t="shared" si="24"/>
        <v>0.18907639439030879</v>
      </c>
      <c r="E105" s="8">
        <f t="shared" si="24"/>
        <v>7.7123301726948632E-2</v>
      </c>
      <c r="F105" s="8">
        <f t="shared" si="24"/>
        <v>1.2827330436370557E-2</v>
      </c>
      <c r="G105" s="8">
        <f t="shared" si="24"/>
        <v>1.1972824541738369E-2</v>
      </c>
      <c r="H105" s="8">
        <f t="shared" si="25"/>
        <v>1</v>
      </c>
      <c r="J105" s="8">
        <f t="shared" si="26"/>
        <v>1</v>
      </c>
      <c r="K105" s="17">
        <f t="shared" si="22"/>
        <v>1.0041505147311134</v>
      </c>
      <c r="M105" s="17">
        <f t="shared" si="23"/>
        <v>0.99999999999999989</v>
      </c>
    </row>
    <row r="106" spans="1:13">
      <c r="A106" s="4">
        <v>41061</v>
      </c>
      <c r="B106" s="8">
        <f t="shared" si="19"/>
        <v>1</v>
      </c>
      <c r="C106" s="8">
        <f t="shared" si="24"/>
        <v>0.70900014890463381</v>
      </c>
      <c r="D106" s="8">
        <f t="shared" si="24"/>
        <v>0.18907639439030879</v>
      </c>
      <c r="E106" s="8">
        <f t="shared" si="24"/>
        <v>7.7123301726948632E-2</v>
      </c>
      <c r="F106" s="8">
        <f t="shared" si="24"/>
        <v>1.2827330436370557E-2</v>
      </c>
      <c r="G106" s="8">
        <f t="shared" si="24"/>
        <v>0</v>
      </c>
      <c r="H106" s="8">
        <f t="shared" si="25"/>
        <v>0.98802717545826169</v>
      </c>
      <c r="J106" s="8">
        <f t="shared" si="26"/>
        <v>0.98802717545826169</v>
      </c>
      <c r="K106" s="17">
        <f t="shared" si="22"/>
        <v>0.99212799680474151</v>
      </c>
      <c r="M106" s="17">
        <f t="shared" si="23"/>
        <v>0.99999999999999989</v>
      </c>
    </row>
    <row r="107" spans="1:13">
      <c r="A107" s="4">
        <v>41091</v>
      </c>
      <c r="B107" s="8">
        <f t="shared" si="19"/>
        <v>1</v>
      </c>
      <c r="C107" s="8">
        <f t="shared" si="24"/>
        <v>0.70900014890463381</v>
      </c>
      <c r="D107" s="8">
        <f t="shared" si="24"/>
        <v>0.18907639439030879</v>
      </c>
      <c r="E107" s="8">
        <f t="shared" si="24"/>
        <v>7.7123301726948632E-2</v>
      </c>
      <c r="F107" s="8">
        <f t="shared" si="24"/>
        <v>1.2827330436370557E-2</v>
      </c>
      <c r="G107" s="8">
        <f t="shared" si="24"/>
        <v>0</v>
      </c>
      <c r="H107" s="8">
        <f t="shared" si="25"/>
        <v>0.98802717545826169</v>
      </c>
      <c r="J107" s="8">
        <f t="shared" si="26"/>
        <v>0.98802717545826169</v>
      </c>
      <c r="K107" s="17">
        <f t="shared" si="22"/>
        <v>0.99212799680474151</v>
      </c>
      <c r="M107" s="17">
        <f t="shared" si="23"/>
        <v>0.99999999999999989</v>
      </c>
    </row>
    <row r="108" spans="1:13">
      <c r="A108" s="4">
        <v>41122</v>
      </c>
      <c r="B108" s="8">
        <f t="shared" si="19"/>
        <v>1</v>
      </c>
      <c r="C108" s="8">
        <f t="shared" si="24"/>
        <v>0.70900014890463381</v>
      </c>
      <c r="D108" s="8">
        <f t="shared" si="24"/>
        <v>0.18907639439030879</v>
      </c>
      <c r="E108" s="8">
        <f t="shared" si="24"/>
        <v>7.7123301726948632E-2</v>
      </c>
      <c r="F108" s="8">
        <f t="shared" si="24"/>
        <v>1.2827330436370557E-2</v>
      </c>
      <c r="G108" s="8">
        <f t="shared" si="24"/>
        <v>0</v>
      </c>
      <c r="H108" s="8">
        <f t="shared" si="25"/>
        <v>0.98802717545826169</v>
      </c>
      <c r="J108" s="8">
        <f t="shared" si="26"/>
        <v>0.98802717545826169</v>
      </c>
      <c r="K108" s="17">
        <f t="shared" si="22"/>
        <v>0.99212799680474151</v>
      </c>
      <c r="M108" s="17">
        <f t="shared" si="23"/>
        <v>0.99999999999999989</v>
      </c>
    </row>
    <row r="109" spans="1:13">
      <c r="A109" s="4">
        <v>41153</v>
      </c>
      <c r="B109" s="8">
        <f t="shared" si="19"/>
        <v>1</v>
      </c>
      <c r="C109" s="8">
        <f t="shared" ref="C109:G118" si="27">IF($A109&gt;=C$22,IF($A109&lt;=C$24,C$20,0),0)</f>
        <v>0.70900014890463381</v>
      </c>
      <c r="D109" s="8">
        <f t="shared" si="27"/>
        <v>0.18907639439030879</v>
      </c>
      <c r="E109" s="8">
        <f t="shared" si="27"/>
        <v>7.7123301726948632E-2</v>
      </c>
      <c r="F109" s="8">
        <f t="shared" si="27"/>
        <v>0</v>
      </c>
      <c r="G109" s="8">
        <f t="shared" si="27"/>
        <v>0</v>
      </c>
      <c r="H109" s="8">
        <f t="shared" si="25"/>
        <v>0.97519984502189117</v>
      </c>
      <c r="J109" s="8">
        <f t="shared" si="26"/>
        <v>0.97519984502189117</v>
      </c>
      <c r="K109" s="17">
        <f t="shared" si="22"/>
        <v>0.97924742634443396</v>
      </c>
      <c r="M109" s="17">
        <f t="shared" si="23"/>
        <v>0.99999999999999989</v>
      </c>
    </row>
    <row r="110" spans="1:13">
      <c r="A110" s="4">
        <v>41183</v>
      </c>
      <c r="B110" s="8">
        <f t="shared" si="19"/>
        <v>1</v>
      </c>
      <c r="C110" s="8">
        <f t="shared" si="27"/>
        <v>0.70900014890463381</v>
      </c>
      <c r="D110" s="8">
        <f t="shared" si="27"/>
        <v>0.18907639439030879</v>
      </c>
      <c r="E110" s="8">
        <f t="shared" si="27"/>
        <v>7.7123301726948632E-2</v>
      </c>
      <c r="F110" s="8">
        <f t="shared" si="27"/>
        <v>0</v>
      </c>
      <c r="G110" s="8">
        <f t="shared" si="27"/>
        <v>0</v>
      </c>
      <c r="H110" s="8">
        <f t="shared" si="25"/>
        <v>0.97519984502189117</v>
      </c>
      <c r="J110" s="8">
        <f t="shared" si="26"/>
        <v>0.97519984502189117</v>
      </c>
      <c r="K110" s="17">
        <f t="shared" si="22"/>
        <v>0.97924742634443396</v>
      </c>
      <c r="M110" s="17">
        <f t="shared" si="23"/>
        <v>0.99999999999999989</v>
      </c>
    </row>
    <row r="111" spans="1:13">
      <c r="A111" s="4">
        <v>41214</v>
      </c>
      <c r="B111" s="8">
        <f t="shared" si="19"/>
        <v>1</v>
      </c>
      <c r="C111" s="8">
        <f t="shared" si="27"/>
        <v>0.70900014890463381</v>
      </c>
      <c r="D111" s="8">
        <f t="shared" si="27"/>
        <v>0.18907639439030879</v>
      </c>
      <c r="E111" s="8">
        <f t="shared" si="27"/>
        <v>7.7123301726948632E-2</v>
      </c>
      <c r="F111" s="8">
        <f t="shared" si="27"/>
        <v>0</v>
      </c>
      <c r="G111" s="8">
        <f t="shared" si="27"/>
        <v>0</v>
      </c>
      <c r="H111" s="8">
        <f t="shared" si="25"/>
        <v>0.97519984502189117</v>
      </c>
      <c r="J111" s="8">
        <f t="shared" si="26"/>
        <v>0.97519984502189117</v>
      </c>
      <c r="K111" s="17">
        <f t="shared" si="22"/>
        <v>0.97924742634443396</v>
      </c>
      <c r="M111" s="17">
        <f t="shared" si="23"/>
        <v>0.99999999999999989</v>
      </c>
    </row>
    <row r="112" spans="1:13">
      <c r="A112" s="4">
        <v>41244</v>
      </c>
      <c r="B112" s="8">
        <f t="shared" si="19"/>
        <v>1</v>
      </c>
      <c r="C112" s="8">
        <f t="shared" si="27"/>
        <v>0.70900014890463381</v>
      </c>
      <c r="D112" s="8">
        <f t="shared" si="27"/>
        <v>0.18907639439030879</v>
      </c>
      <c r="E112" s="8">
        <f t="shared" si="27"/>
        <v>7.7123301726948632E-2</v>
      </c>
      <c r="F112" s="8">
        <f t="shared" si="27"/>
        <v>0</v>
      </c>
      <c r="G112" s="8">
        <f t="shared" si="27"/>
        <v>0</v>
      </c>
      <c r="H112" s="8">
        <f t="shared" si="25"/>
        <v>0.97519984502189117</v>
      </c>
      <c r="J112" s="8">
        <f t="shared" si="26"/>
        <v>0.97519984502189117</v>
      </c>
      <c r="K112" s="17">
        <f t="shared" si="22"/>
        <v>0.97924742634443396</v>
      </c>
      <c r="M112" s="17">
        <f t="shared" si="23"/>
        <v>0.99999999999999989</v>
      </c>
    </row>
    <row r="113" spans="1:13">
      <c r="A113" s="4">
        <v>41275</v>
      </c>
      <c r="B113" s="8">
        <f t="shared" si="19"/>
        <v>1</v>
      </c>
      <c r="C113" s="8">
        <f t="shared" si="27"/>
        <v>0.70900014890463381</v>
      </c>
      <c r="D113" s="8">
        <f t="shared" si="27"/>
        <v>0.18907639439030879</v>
      </c>
      <c r="E113" s="8">
        <f t="shared" si="27"/>
        <v>0</v>
      </c>
      <c r="F113" s="8">
        <f t="shared" si="27"/>
        <v>0</v>
      </c>
      <c r="G113" s="8">
        <f t="shared" si="27"/>
        <v>0</v>
      </c>
      <c r="H113" s="8">
        <f t="shared" si="25"/>
        <v>0.89807654329494258</v>
      </c>
      <c r="J113" s="8">
        <f t="shared" si="26"/>
        <v>0.89807654329494258</v>
      </c>
      <c r="K113" s="17">
        <f t="shared" si="22"/>
        <v>0.90180402321755559</v>
      </c>
      <c r="M113" s="17">
        <f t="shared" si="23"/>
        <v>0.99999999999999989</v>
      </c>
    </row>
    <row r="114" spans="1:13">
      <c r="A114" s="4">
        <v>41306</v>
      </c>
      <c r="B114" s="8">
        <f t="shared" si="19"/>
        <v>1</v>
      </c>
      <c r="C114" s="8">
        <f t="shared" si="27"/>
        <v>0.70900014890463381</v>
      </c>
      <c r="D114" s="8">
        <f t="shared" si="27"/>
        <v>0.18907639439030879</v>
      </c>
      <c r="E114" s="8">
        <f t="shared" si="27"/>
        <v>0</v>
      </c>
      <c r="F114" s="8">
        <f t="shared" si="27"/>
        <v>0</v>
      </c>
      <c r="G114" s="8">
        <f t="shared" si="27"/>
        <v>0</v>
      </c>
      <c r="H114" s="8">
        <f t="shared" si="25"/>
        <v>0.89807654329494258</v>
      </c>
      <c r="J114" s="8">
        <f t="shared" si="26"/>
        <v>0.89807654329494258</v>
      </c>
      <c r="K114" s="17">
        <f t="shared" si="22"/>
        <v>0.90180402321755559</v>
      </c>
      <c r="M114" s="17">
        <f t="shared" si="23"/>
        <v>0.99999999999999989</v>
      </c>
    </row>
    <row r="115" spans="1:13">
      <c r="A115" s="4">
        <v>41334</v>
      </c>
      <c r="B115" s="8">
        <f t="shared" si="19"/>
        <v>1</v>
      </c>
      <c r="C115" s="8">
        <f t="shared" si="27"/>
        <v>0.70900014890463381</v>
      </c>
      <c r="D115" s="8">
        <f t="shared" si="27"/>
        <v>0.18907639439030879</v>
      </c>
      <c r="E115" s="8">
        <f t="shared" si="27"/>
        <v>0</v>
      </c>
      <c r="F115" s="8">
        <f t="shared" si="27"/>
        <v>0</v>
      </c>
      <c r="G115" s="8">
        <f t="shared" si="27"/>
        <v>0</v>
      </c>
      <c r="H115" s="8">
        <f t="shared" si="25"/>
        <v>0.89807654329494258</v>
      </c>
      <c r="J115" s="8">
        <f t="shared" si="26"/>
        <v>0.89807654329494258</v>
      </c>
      <c r="K115" s="17">
        <f t="shared" si="22"/>
        <v>0.90180402321755559</v>
      </c>
      <c r="M115" s="17">
        <f t="shared" si="23"/>
        <v>0.99999999999999989</v>
      </c>
    </row>
    <row r="116" spans="1:13">
      <c r="A116" s="4">
        <v>41365</v>
      </c>
      <c r="B116" s="8">
        <f t="shared" si="19"/>
        <v>1</v>
      </c>
      <c r="C116" s="8">
        <f t="shared" si="27"/>
        <v>0.70900014890463381</v>
      </c>
      <c r="D116" s="8">
        <f t="shared" si="27"/>
        <v>0.18907639439030879</v>
      </c>
      <c r="E116" s="8">
        <f t="shared" si="27"/>
        <v>0</v>
      </c>
      <c r="F116" s="8">
        <f t="shared" si="27"/>
        <v>0</v>
      </c>
      <c r="G116" s="8">
        <f t="shared" si="27"/>
        <v>0</v>
      </c>
      <c r="H116" s="8">
        <f t="shared" si="25"/>
        <v>0.89807654329494258</v>
      </c>
      <c r="J116" s="8">
        <f t="shared" si="26"/>
        <v>0.89807654329494258</v>
      </c>
      <c r="K116" s="17">
        <f t="shared" si="22"/>
        <v>0.90180402321755559</v>
      </c>
      <c r="M116" s="17">
        <f t="shared" si="23"/>
        <v>0.99999999999999989</v>
      </c>
    </row>
    <row r="117" spans="1:13">
      <c r="A117" s="4">
        <v>41395</v>
      </c>
      <c r="B117" s="8">
        <f t="shared" si="19"/>
        <v>1</v>
      </c>
      <c r="C117" s="8">
        <f t="shared" si="27"/>
        <v>0.70900014890463381</v>
      </c>
      <c r="D117" s="8">
        <f t="shared" si="27"/>
        <v>0.18907639439030879</v>
      </c>
      <c r="E117" s="8">
        <f t="shared" si="27"/>
        <v>0</v>
      </c>
      <c r="F117" s="8">
        <f t="shared" si="27"/>
        <v>0</v>
      </c>
      <c r="G117" s="8">
        <f t="shared" si="27"/>
        <v>0</v>
      </c>
      <c r="H117" s="8">
        <f t="shared" si="25"/>
        <v>0.89807654329494258</v>
      </c>
      <c r="J117" s="8">
        <f t="shared" si="26"/>
        <v>0.89807654329494258</v>
      </c>
      <c r="K117" s="17">
        <f t="shared" si="22"/>
        <v>0.90180402321755559</v>
      </c>
      <c r="M117" s="17">
        <f t="shared" si="23"/>
        <v>0.99999999999999989</v>
      </c>
    </row>
    <row r="118" spans="1:13">
      <c r="A118" s="4">
        <v>41426</v>
      </c>
      <c r="B118" s="8">
        <f t="shared" si="19"/>
        <v>1</v>
      </c>
      <c r="C118" s="8">
        <f t="shared" si="27"/>
        <v>0.70900014890463381</v>
      </c>
      <c r="D118" s="8">
        <f t="shared" si="27"/>
        <v>0.18907639439030879</v>
      </c>
      <c r="E118" s="8">
        <f t="shared" si="27"/>
        <v>0</v>
      </c>
      <c r="F118" s="8">
        <f t="shared" si="27"/>
        <v>0</v>
      </c>
      <c r="G118" s="8">
        <f t="shared" si="27"/>
        <v>0</v>
      </c>
      <c r="H118" s="8">
        <f t="shared" si="25"/>
        <v>0.89807654329494258</v>
      </c>
      <c r="J118" s="8">
        <f t="shared" si="26"/>
        <v>0.89807654329494258</v>
      </c>
      <c r="K118" s="17">
        <f t="shared" si="22"/>
        <v>0.90180402321755559</v>
      </c>
      <c r="M118" s="17">
        <f t="shared" si="23"/>
        <v>0.99999999999999989</v>
      </c>
    </row>
    <row r="119" spans="1:13">
      <c r="A119" s="4">
        <v>41456</v>
      </c>
      <c r="B119" s="8">
        <f t="shared" si="19"/>
        <v>1</v>
      </c>
      <c r="C119" s="8">
        <f t="shared" ref="C119:G128" si="28">IF($A119&gt;=C$22,IF($A119&lt;=C$24,C$20,0),0)</f>
        <v>0.70900014890463381</v>
      </c>
      <c r="D119" s="8">
        <f t="shared" si="28"/>
        <v>0.18907639439030879</v>
      </c>
      <c r="E119" s="8">
        <f t="shared" si="28"/>
        <v>0</v>
      </c>
      <c r="F119" s="8">
        <f t="shared" si="28"/>
        <v>0</v>
      </c>
      <c r="G119" s="8">
        <f t="shared" si="28"/>
        <v>0</v>
      </c>
      <c r="H119" s="8">
        <f t="shared" si="25"/>
        <v>0.89807654329494258</v>
      </c>
      <c r="J119" s="8">
        <f t="shared" si="26"/>
        <v>0.89807654329494258</v>
      </c>
      <c r="K119" s="17">
        <f t="shared" si="22"/>
        <v>0.90180402321755559</v>
      </c>
      <c r="M119" s="17">
        <f t="shared" si="23"/>
        <v>0.99999999999999989</v>
      </c>
    </row>
    <row r="120" spans="1:13">
      <c r="A120" s="4">
        <v>41487</v>
      </c>
      <c r="B120" s="8">
        <f t="shared" si="19"/>
        <v>1</v>
      </c>
      <c r="C120" s="8">
        <f t="shared" si="28"/>
        <v>0.70900014890463381</v>
      </c>
      <c r="D120" s="8">
        <f t="shared" si="28"/>
        <v>0.18907639439030879</v>
      </c>
      <c r="E120" s="8">
        <f t="shared" si="28"/>
        <v>0</v>
      </c>
      <c r="F120" s="8">
        <f t="shared" si="28"/>
        <v>0</v>
      </c>
      <c r="G120" s="8">
        <f t="shared" si="28"/>
        <v>0</v>
      </c>
      <c r="H120" s="8">
        <f t="shared" si="25"/>
        <v>0.89807654329494258</v>
      </c>
      <c r="J120" s="8">
        <f t="shared" si="26"/>
        <v>0.89807654329494258</v>
      </c>
      <c r="K120" s="17">
        <f t="shared" si="22"/>
        <v>0.90180402321755559</v>
      </c>
      <c r="M120" s="17">
        <f t="shared" si="23"/>
        <v>0.99999999999999989</v>
      </c>
    </row>
    <row r="121" spans="1:13">
      <c r="A121" s="4">
        <v>41518</v>
      </c>
      <c r="B121" s="8">
        <f t="shared" si="19"/>
        <v>1</v>
      </c>
      <c r="C121" s="8">
        <f t="shared" si="28"/>
        <v>0.70900014890463381</v>
      </c>
      <c r="D121" s="8">
        <f t="shared" si="28"/>
        <v>0.18907639439030879</v>
      </c>
      <c r="E121" s="8">
        <f t="shared" si="28"/>
        <v>0</v>
      </c>
      <c r="F121" s="8">
        <f t="shared" si="28"/>
        <v>0</v>
      </c>
      <c r="G121" s="8">
        <f t="shared" si="28"/>
        <v>0</v>
      </c>
      <c r="H121" s="8">
        <f t="shared" si="25"/>
        <v>0.89807654329494258</v>
      </c>
      <c r="J121" s="8">
        <f t="shared" si="26"/>
        <v>0.89807654329494258</v>
      </c>
      <c r="K121" s="17">
        <f t="shared" si="22"/>
        <v>0.90180402321755559</v>
      </c>
      <c r="M121" s="17">
        <f t="shared" si="23"/>
        <v>0.99999999999999989</v>
      </c>
    </row>
    <row r="122" spans="1:13">
      <c r="A122" s="4">
        <v>41548</v>
      </c>
      <c r="B122" s="8">
        <f t="shared" si="19"/>
        <v>1</v>
      </c>
      <c r="C122" s="8">
        <f t="shared" si="28"/>
        <v>0.70900014890463381</v>
      </c>
      <c r="D122" s="8">
        <f t="shared" si="28"/>
        <v>0.18907639439030879</v>
      </c>
      <c r="E122" s="8">
        <f t="shared" si="28"/>
        <v>0</v>
      </c>
      <c r="F122" s="8">
        <f t="shared" si="28"/>
        <v>0</v>
      </c>
      <c r="G122" s="8">
        <f t="shared" si="28"/>
        <v>0</v>
      </c>
      <c r="H122" s="8">
        <f t="shared" si="25"/>
        <v>0.89807654329494258</v>
      </c>
      <c r="J122" s="8">
        <f t="shared" si="26"/>
        <v>0.89807654329494258</v>
      </c>
      <c r="K122" s="17">
        <f t="shared" si="22"/>
        <v>0.90180402321755559</v>
      </c>
      <c r="M122" s="17">
        <f t="shared" si="23"/>
        <v>0.99999999999999989</v>
      </c>
    </row>
    <row r="123" spans="1:13">
      <c r="A123" s="4">
        <v>41579</v>
      </c>
      <c r="B123" s="8">
        <f t="shared" si="19"/>
        <v>1</v>
      </c>
      <c r="C123" s="8">
        <f t="shared" si="28"/>
        <v>0.70900014890463381</v>
      </c>
      <c r="D123" s="8">
        <f t="shared" si="28"/>
        <v>0.18907639439030879</v>
      </c>
      <c r="E123" s="8">
        <f t="shared" si="28"/>
        <v>0</v>
      </c>
      <c r="F123" s="8">
        <f t="shared" si="28"/>
        <v>0</v>
      </c>
      <c r="G123" s="8">
        <f t="shared" si="28"/>
        <v>0</v>
      </c>
      <c r="H123" s="8">
        <f t="shared" si="25"/>
        <v>0.89807654329494258</v>
      </c>
      <c r="J123" s="8">
        <f t="shared" si="26"/>
        <v>0.89807654329494258</v>
      </c>
      <c r="K123" s="17">
        <f t="shared" si="22"/>
        <v>0.90180402321755559</v>
      </c>
      <c r="M123" s="17">
        <f t="shared" si="23"/>
        <v>0.99999999999999989</v>
      </c>
    </row>
    <row r="124" spans="1:13">
      <c r="A124" s="4">
        <v>41609</v>
      </c>
      <c r="B124" s="8">
        <f t="shared" si="19"/>
        <v>1</v>
      </c>
      <c r="C124" s="8">
        <f t="shared" si="28"/>
        <v>0.70900014890463381</v>
      </c>
      <c r="D124" s="8">
        <f t="shared" si="28"/>
        <v>0.18907639439030879</v>
      </c>
      <c r="E124" s="8">
        <f t="shared" si="28"/>
        <v>0</v>
      </c>
      <c r="F124" s="8">
        <f t="shared" si="28"/>
        <v>0</v>
      </c>
      <c r="G124" s="8">
        <f t="shared" si="28"/>
        <v>0</v>
      </c>
      <c r="H124" s="8">
        <f t="shared" si="25"/>
        <v>0.89807654329494258</v>
      </c>
      <c r="J124" s="8">
        <f t="shared" si="26"/>
        <v>0.89807654329494258</v>
      </c>
      <c r="K124" s="17">
        <f t="shared" si="22"/>
        <v>0.90180402321755559</v>
      </c>
      <c r="M124" s="17">
        <f t="shared" si="23"/>
        <v>0.99999999999999989</v>
      </c>
    </row>
    <row r="125" spans="1:13">
      <c r="A125" s="4">
        <v>41640</v>
      </c>
      <c r="B125" s="8">
        <f t="shared" ref="B125:B136" si="29">IF($A125&gt;=B$22,IF($A125&lt;=B$24,1,B$20),B$20)</f>
        <v>1</v>
      </c>
      <c r="C125" s="8">
        <f t="shared" si="28"/>
        <v>0.70900014890463381</v>
      </c>
      <c r="D125" s="8">
        <f t="shared" si="28"/>
        <v>0</v>
      </c>
      <c r="E125" s="8">
        <f t="shared" si="28"/>
        <v>0</v>
      </c>
      <c r="F125" s="8">
        <f t="shared" si="28"/>
        <v>0</v>
      </c>
      <c r="G125" s="8">
        <f t="shared" si="28"/>
        <v>0</v>
      </c>
      <c r="H125" s="8">
        <f t="shared" si="25"/>
        <v>0.70900014890463381</v>
      </c>
      <c r="J125" s="8">
        <f t="shared" si="26"/>
        <v>0.70900014890463381</v>
      </c>
      <c r="K125" s="17">
        <f t="shared" si="22"/>
        <v>0.71194286446702404</v>
      </c>
      <c r="M125" s="17">
        <f t="shared" si="23"/>
        <v>0.99999999999999989</v>
      </c>
    </row>
    <row r="126" spans="1:13">
      <c r="A126" s="4">
        <v>41671</v>
      </c>
      <c r="B126" s="8">
        <f t="shared" si="29"/>
        <v>1</v>
      </c>
      <c r="C126" s="8">
        <f t="shared" si="28"/>
        <v>0.70900014890463381</v>
      </c>
      <c r="D126" s="8">
        <f t="shared" si="28"/>
        <v>0</v>
      </c>
      <c r="E126" s="8">
        <f t="shared" si="28"/>
        <v>0</v>
      </c>
      <c r="F126" s="8">
        <f t="shared" si="28"/>
        <v>0</v>
      </c>
      <c r="G126" s="8">
        <f t="shared" si="28"/>
        <v>0</v>
      </c>
      <c r="H126" s="8">
        <f t="shared" si="25"/>
        <v>0.70900014890463381</v>
      </c>
      <c r="J126" s="8">
        <f t="shared" si="26"/>
        <v>0.70900014890463381</v>
      </c>
      <c r="K126" s="17">
        <f t="shared" si="22"/>
        <v>0.71194286446702404</v>
      </c>
      <c r="M126" s="17">
        <f t="shared" si="23"/>
        <v>0.99999999999999989</v>
      </c>
    </row>
    <row r="127" spans="1:13">
      <c r="A127" s="4">
        <v>41699</v>
      </c>
      <c r="B127" s="8">
        <f t="shared" si="29"/>
        <v>1</v>
      </c>
      <c r="C127" s="8">
        <f t="shared" si="28"/>
        <v>0.70900014890463381</v>
      </c>
      <c r="D127" s="8">
        <f t="shared" si="28"/>
        <v>0</v>
      </c>
      <c r="E127" s="8">
        <f t="shared" si="28"/>
        <v>0</v>
      </c>
      <c r="F127" s="8">
        <f t="shared" si="28"/>
        <v>0</v>
      </c>
      <c r="G127" s="8">
        <f t="shared" si="28"/>
        <v>0</v>
      </c>
      <c r="H127" s="8">
        <f t="shared" si="25"/>
        <v>0.70900014890463381</v>
      </c>
      <c r="J127" s="8">
        <f t="shared" si="26"/>
        <v>0.70900014890463381</v>
      </c>
      <c r="K127" s="17">
        <f t="shared" si="22"/>
        <v>0.71194286446702404</v>
      </c>
      <c r="M127" s="17">
        <f t="shared" si="23"/>
        <v>0.99999999999999989</v>
      </c>
    </row>
    <row r="128" spans="1:13">
      <c r="A128" s="4">
        <v>41730</v>
      </c>
      <c r="B128" s="8">
        <f t="shared" si="29"/>
        <v>1</v>
      </c>
      <c r="C128" s="8">
        <f t="shared" si="28"/>
        <v>0.70900014890463381</v>
      </c>
      <c r="D128" s="8">
        <f t="shared" si="28"/>
        <v>0</v>
      </c>
      <c r="E128" s="8">
        <f t="shared" si="28"/>
        <v>0</v>
      </c>
      <c r="F128" s="8">
        <f t="shared" si="28"/>
        <v>0</v>
      </c>
      <c r="G128" s="8">
        <f t="shared" si="28"/>
        <v>0</v>
      </c>
      <c r="H128" s="8">
        <f t="shared" si="25"/>
        <v>0.70900014890463381</v>
      </c>
      <c r="J128" s="8">
        <f t="shared" si="26"/>
        <v>0.70900014890463381</v>
      </c>
      <c r="K128" s="17">
        <f t="shared" si="22"/>
        <v>0.71194286446702404</v>
      </c>
      <c r="M128" s="17">
        <f t="shared" si="23"/>
        <v>0.99999999999999989</v>
      </c>
    </row>
    <row r="129" spans="1:13">
      <c r="A129" s="4">
        <v>41760</v>
      </c>
      <c r="B129" s="8">
        <f t="shared" si="29"/>
        <v>1</v>
      </c>
      <c r="C129" s="8">
        <f t="shared" ref="C129:G136" si="30">IF($A129&gt;=C$22,IF($A129&lt;=C$24,C$20,0),0)</f>
        <v>0.70900014890463381</v>
      </c>
      <c r="D129" s="8">
        <f t="shared" si="30"/>
        <v>0</v>
      </c>
      <c r="E129" s="8">
        <f t="shared" si="30"/>
        <v>0</v>
      </c>
      <c r="F129" s="8">
        <f t="shared" si="30"/>
        <v>0</v>
      </c>
      <c r="G129" s="8">
        <f t="shared" si="30"/>
        <v>0</v>
      </c>
      <c r="H129" s="8">
        <f t="shared" si="25"/>
        <v>0.70900014890463381</v>
      </c>
      <c r="J129" s="8">
        <f t="shared" si="26"/>
        <v>0.70900014890463381</v>
      </c>
      <c r="K129" s="17">
        <f t="shared" si="22"/>
        <v>0.71194286446702404</v>
      </c>
      <c r="M129" s="17">
        <f t="shared" si="23"/>
        <v>0.99999999999999989</v>
      </c>
    </row>
    <row r="130" spans="1:13">
      <c r="A130" s="4">
        <v>41791</v>
      </c>
      <c r="B130" s="8">
        <f t="shared" si="29"/>
        <v>1</v>
      </c>
      <c r="C130" s="8">
        <f t="shared" si="30"/>
        <v>0.70900014890463381</v>
      </c>
      <c r="D130" s="8">
        <f t="shared" si="30"/>
        <v>0</v>
      </c>
      <c r="E130" s="8">
        <f t="shared" si="30"/>
        <v>0</v>
      </c>
      <c r="F130" s="8">
        <f t="shared" si="30"/>
        <v>0</v>
      </c>
      <c r="G130" s="8">
        <f t="shared" si="30"/>
        <v>0</v>
      </c>
      <c r="H130" s="8">
        <f t="shared" si="25"/>
        <v>0.70900014890463381</v>
      </c>
      <c r="J130" s="8">
        <f t="shared" si="26"/>
        <v>0.70900014890463381</v>
      </c>
      <c r="K130" s="17">
        <f t="shared" si="22"/>
        <v>0.71194286446702404</v>
      </c>
      <c r="M130" s="17">
        <f t="shared" si="23"/>
        <v>0.99999999999999989</v>
      </c>
    </row>
    <row r="131" spans="1:13">
      <c r="A131" s="4">
        <v>41821</v>
      </c>
      <c r="B131" s="8">
        <f t="shared" si="29"/>
        <v>1</v>
      </c>
      <c r="C131" s="8">
        <f t="shared" si="30"/>
        <v>0.70900014890463381</v>
      </c>
      <c r="D131" s="8">
        <f t="shared" si="30"/>
        <v>0</v>
      </c>
      <c r="E131" s="8">
        <f t="shared" si="30"/>
        <v>0</v>
      </c>
      <c r="F131" s="8">
        <f t="shared" si="30"/>
        <v>0</v>
      </c>
      <c r="G131" s="8">
        <f t="shared" si="30"/>
        <v>0</v>
      </c>
      <c r="H131" s="8">
        <f t="shared" si="25"/>
        <v>0.70900014890463381</v>
      </c>
      <c r="J131" s="8">
        <f t="shared" si="26"/>
        <v>0.70900014890463381</v>
      </c>
      <c r="K131" s="17">
        <f t="shared" si="22"/>
        <v>0.71194286446702404</v>
      </c>
      <c r="M131" s="17">
        <f t="shared" si="23"/>
        <v>0.99999999999999989</v>
      </c>
    </row>
    <row r="132" spans="1:13">
      <c r="A132" s="4">
        <v>41852</v>
      </c>
      <c r="B132" s="8">
        <f t="shared" si="29"/>
        <v>1</v>
      </c>
      <c r="C132" s="8">
        <f t="shared" si="30"/>
        <v>0.70900014890463381</v>
      </c>
      <c r="D132" s="8">
        <f t="shared" si="30"/>
        <v>0</v>
      </c>
      <c r="E132" s="8">
        <f t="shared" si="30"/>
        <v>0</v>
      </c>
      <c r="F132" s="8">
        <f t="shared" si="30"/>
        <v>0</v>
      </c>
      <c r="G132" s="8">
        <f t="shared" si="30"/>
        <v>0</v>
      </c>
      <c r="H132" s="8">
        <f t="shared" si="25"/>
        <v>0.70900014890463381</v>
      </c>
      <c r="J132" s="8">
        <f t="shared" si="26"/>
        <v>0.70900014890463381</v>
      </c>
      <c r="K132" s="17">
        <f t="shared" si="22"/>
        <v>0.71194286446702404</v>
      </c>
      <c r="M132" s="17">
        <f t="shared" si="23"/>
        <v>0.99999999999999989</v>
      </c>
    </row>
    <row r="133" spans="1:13">
      <c r="A133" s="4">
        <v>41883</v>
      </c>
      <c r="B133" s="8">
        <f t="shared" si="29"/>
        <v>1</v>
      </c>
      <c r="C133" s="8">
        <f t="shared" si="30"/>
        <v>0.70900014890463381</v>
      </c>
      <c r="D133" s="8">
        <f t="shared" si="30"/>
        <v>0</v>
      </c>
      <c r="E133" s="8">
        <f t="shared" si="30"/>
        <v>0</v>
      </c>
      <c r="F133" s="8">
        <f t="shared" si="30"/>
        <v>0</v>
      </c>
      <c r="G133" s="8">
        <f t="shared" si="30"/>
        <v>0</v>
      </c>
      <c r="H133" s="8">
        <f t="shared" si="25"/>
        <v>0.70900014890463381</v>
      </c>
      <c r="J133" s="8">
        <f t="shared" si="26"/>
        <v>0.70900014890463381</v>
      </c>
      <c r="K133" s="17">
        <f t="shared" si="22"/>
        <v>0.71194286446702404</v>
      </c>
      <c r="M133" s="17">
        <f t="shared" si="23"/>
        <v>0.99999999999999989</v>
      </c>
    </row>
    <row r="134" spans="1:13">
      <c r="A134" s="4">
        <v>41913</v>
      </c>
      <c r="B134" s="8">
        <f t="shared" si="29"/>
        <v>1</v>
      </c>
      <c r="C134" s="8">
        <f t="shared" si="30"/>
        <v>0.70900014890463381</v>
      </c>
      <c r="D134" s="8">
        <f t="shared" si="30"/>
        <v>0</v>
      </c>
      <c r="E134" s="8">
        <f t="shared" si="30"/>
        <v>0</v>
      </c>
      <c r="F134" s="8">
        <f t="shared" si="30"/>
        <v>0</v>
      </c>
      <c r="G134" s="8">
        <f t="shared" si="30"/>
        <v>0</v>
      </c>
      <c r="H134" s="8">
        <f t="shared" si="25"/>
        <v>0.70900014890463381</v>
      </c>
      <c r="J134" s="8">
        <f t="shared" si="26"/>
        <v>0.70900014890463381</v>
      </c>
      <c r="K134" s="17">
        <f t="shared" si="22"/>
        <v>0.71194286446702404</v>
      </c>
      <c r="M134" s="17">
        <f t="shared" si="23"/>
        <v>0.99999999999999989</v>
      </c>
    </row>
    <row r="135" spans="1:13">
      <c r="A135" s="4">
        <v>41944</v>
      </c>
      <c r="B135" s="8">
        <f t="shared" si="29"/>
        <v>1</v>
      </c>
      <c r="C135" s="8">
        <f t="shared" si="30"/>
        <v>0.70900014890463381</v>
      </c>
      <c r="D135" s="8">
        <f t="shared" si="30"/>
        <v>0</v>
      </c>
      <c r="E135" s="8">
        <f t="shared" si="30"/>
        <v>0</v>
      </c>
      <c r="F135" s="8">
        <f t="shared" si="30"/>
        <v>0</v>
      </c>
      <c r="G135" s="8">
        <f t="shared" si="30"/>
        <v>0</v>
      </c>
      <c r="H135" s="8">
        <f t="shared" si="25"/>
        <v>0.70900014890463381</v>
      </c>
      <c r="J135" s="8">
        <f t="shared" si="26"/>
        <v>0.70900014890463381</v>
      </c>
      <c r="K135" s="17">
        <f t="shared" si="22"/>
        <v>0.71194286446702404</v>
      </c>
      <c r="M135" s="17">
        <f t="shared" si="23"/>
        <v>0.99999999999999989</v>
      </c>
    </row>
    <row r="136" spans="1:13">
      <c r="A136" s="4">
        <v>41974</v>
      </c>
      <c r="B136" s="8">
        <f t="shared" si="29"/>
        <v>1</v>
      </c>
      <c r="C136" s="8">
        <f t="shared" si="30"/>
        <v>0.70900014890463381</v>
      </c>
      <c r="D136" s="8">
        <f t="shared" si="30"/>
        <v>0</v>
      </c>
      <c r="E136" s="8">
        <f t="shared" si="30"/>
        <v>0</v>
      </c>
      <c r="F136" s="8">
        <f t="shared" si="30"/>
        <v>0</v>
      </c>
      <c r="G136" s="8">
        <f t="shared" si="30"/>
        <v>0</v>
      </c>
      <c r="H136" s="8">
        <f t="shared" si="25"/>
        <v>0.70900014890463381</v>
      </c>
      <c r="J136" s="8">
        <f t="shared" si="26"/>
        <v>0.70900014890463381</v>
      </c>
      <c r="K136" s="17">
        <f t="shared" si="22"/>
        <v>0.71194286446702404</v>
      </c>
      <c r="M136" s="17">
        <f t="shared" si="23"/>
        <v>0.99999999999999989</v>
      </c>
    </row>
    <row r="139" spans="1:13">
      <c r="A139" s="6" t="s">
        <v>129</v>
      </c>
    </row>
    <row r="140" spans="1:13">
      <c r="A140" s="10">
        <v>2007</v>
      </c>
      <c r="B140" s="8">
        <f>AVERAGE(B41:B52)</f>
        <v>0.95492226344330799</v>
      </c>
    </row>
    <row r="141" spans="1:13">
      <c r="A141" s="10">
        <v>2008</v>
      </c>
      <c r="B141" s="8">
        <f>AVERAGE(B53:B64)</f>
        <v>0.95492226344330799</v>
      </c>
    </row>
    <row r="142" spans="1:13">
      <c r="A142" s="10">
        <v>2009</v>
      </c>
      <c r="B142" s="8">
        <f>AVERAGE(B65:B76)</f>
        <v>0.98873056586082697</v>
      </c>
    </row>
    <row r="143" spans="1:13">
      <c r="A143" s="10">
        <v>2010</v>
      </c>
      <c r="B143" s="8">
        <f>AVERAGE(B77:B88)</f>
        <v>1</v>
      </c>
    </row>
    <row r="144" spans="1:13">
      <c r="A144" s="10">
        <v>2011</v>
      </c>
      <c r="B144" s="8">
        <f>AVERAGE(B89:B100)</f>
        <v>1</v>
      </c>
    </row>
  </sheetData>
  <mergeCells count="3">
    <mergeCell ref="C18:H18"/>
    <mergeCell ref="B5:C5"/>
    <mergeCell ref="D5:F5"/>
  </mergeCells>
  <pageMargins left="0.7" right="0.7" top="0.75" bottom="0.75" header="0.3" footer="0.3"/>
  <pageSetup paperSize="0" orientation="portrait" r:id="rId1"/>
  <legacyDrawing r:id="rId2"/>
</worksheet>
</file>

<file path=xl/worksheets/sheet4.xml><?xml version="1.0" encoding="utf-8"?>
<worksheet xmlns="http://schemas.openxmlformats.org/spreadsheetml/2006/main" xmlns:r="http://schemas.openxmlformats.org/officeDocument/2006/relationships">
  <dimension ref="A1:M136"/>
  <sheetViews>
    <sheetView workbookViewId="0"/>
  </sheetViews>
  <sheetFormatPr defaultRowHeight="15"/>
  <cols>
    <col min="1" max="1" width="19.28515625" bestFit="1" customWidth="1"/>
    <col min="2" max="2" width="18.5703125" bestFit="1" customWidth="1"/>
    <col min="3" max="3" width="9.85546875" bestFit="1" customWidth="1"/>
  </cols>
  <sheetData>
    <row r="1" spans="1:4">
      <c r="A1" s="1" t="s">
        <v>42</v>
      </c>
    </row>
    <row r="2" spans="1:4">
      <c r="A2" s="1"/>
    </row>
    <row r="3" spans="1:4">
      <c r="A3" t="s">
        <v>1</v>
      </c>
      <c r="B3" t="str">
        <f>UIElg!B3</f>
        <v>non-elderly unemployed head or spouse, and participating in weeks 1-26 under modernized rules</v>
      </c>
    </row>
    <row r="5" spans="1:4">
      <c r="A5" s="5" t="s">
        <v>33</v>
      </c>
    </row>
    <row r="6" spans="1:4">
      <c r="A6" t="s">
        <v>49</v>
      </c>
      <c r="B6" s="15">
        <v>13027</v>
      </c>
    </row>
    <row r="7" spans="1:4">
      <c r="A7" t="s">
        <v>50</v>
      </c>
      <c r="B7" s="15">
        <v>0.65</v>
      </c>
    </row>
    <row r="8" spans="1:4">
      <c r="A8" t="s">
        <v>51</v>
      </c>
      <c r="B8" s="18">
        <f>B6*B7/52</f>
        <v>162.83750000000003</v>
      </c>
      <c r="C8" s="19">
        <f>B8*C9*B9*($F$21+1-$F$19+($G$21-$F$21)/2)/(7*1000000000)</f>
        <v>23.730359717520006</v>
      </c>
      <c r="D8" t="s">
        <v>52</v>
      </c>
    </row>
    <row r="9" spans="1:4">
      <c r="A9" t="s">
        <v>43</v>
      </c>
      <c r="B9" s="15">
        <v>0.2</v>
      </c>
      <c r="C9" s="12">
        <v>9884808</v>
      </c>
      <c r="D9" t="s">
        <v>53</v>
      </c>
    </row>
    <row r="10" spans="1:4">
      <c r="A10" t="s">
        <v>44</v>
      </c>
      <c r="B10" s="20">
        <v>0.2122</v>
      </c>
    </row>
    <row r="11" spans="1:4">
      <c r="A11" t="s">
        <v>45</v>
      </c>
      <c r="B11" s="20">
        <f>2400/39</f>
        <v>61.53846153846154</v>
      </c>
    </row>
    <row r="12" spans="1:4">
      <c r="A12" t="s">
        <v>46</v>
      </c>
      <c r="B12" s="20">
        <v>290.25</v>
      </c>
    </row>
    <row r="13" spans="1:4">
      <c r="A13" t="s">
        <v>47</v>
      </c>
      <c r="B13" s="20">
        <v>299.3</v>
      </c>
    </row>
    <row r="14" spans="1:4">
      <c r="A14" t="s">
        <v>48</v>
      </c>
      <c r="B14" s="23">
        <f>(AVERAGE(B12:B13)-$C$23)*52/12</f>
        <v>1169.0249999999999</v>
      </c>
    </row>
    <row r="15" spans="1:4">
      <c r="A15" t="s">
        <v>358</v>
      </c>
      <c r="B15" s="15">
        <v>0</v>
      </c>
      <c r="C15" s="38" t="s">
        <v>360</v>
      </c>
    </row>
    <row r="16" spans="1:4">
      <c r="A16" t="s">
        <v>359</v>
      </c>
      <c r="B16" s="15">
        <v>0.5</v>
      </c>
    </row>
    <row r="17" spans="1:13">
      <c r="C17" s="7"/>
    </row>
    <row r="18" spans="1:13">
      <c r="A18" t="s">
        <v>54</v>
      </c>
      <c r="B18" s="2" t="s">
        <v>55</v>
      </c>
      <c r="C18" s="2" t="s">
        <v>59</v>
      </c>
      <c r="D18" s="3" t="s">
        <v>60</v>
      </c>
      <c r="E18" s="3" t="s">
        <v>415</v>
      </c>
      <c r="F18" s="3" t="s">
        <v>61</v>
      </c>
      <c r="G18" s="3" t="s">
        <v>62</v>
      </c>
      <c r="K18" s="16" t="s">
        <v>84</v>
      </c>
      <c r="M18" s="16" t="s">
        <v>361</v>
      </c>
    </row>
    <row r="19" spans="1:13">
      <c r="A19" t="s">
        <v>18</v>
      </c>
      <c r="B19" s="13">
        <v>38718</v>
      </c>
      <c r="C19" s="13">
        <v>39904</v>
      </c>
      <c r="D19" s="13">
        <f>C21+1</f>
        <v>40332</v>
      </c>
      <c r="E19" s="13">
        <v>39904</v>
      </c>
      <c r="F19" s="13">
        <v>39904</v>
      </c>
      <c r="G19" s="13">
        <f>F21+1</f>
        <v>40330</v>
      </c>
      <c r="K19" s="16"/>
    </row>
    <row r="20" spans="1:13">
      <c r="A20" t="s">
        <v>19</v>
      </c>
      <c r="B20" s="14" t="s">
        <v>23</v>
      </c>
      <c r="C20" s="14" t="s">
        <v>22</v>
      </c>
      <c r="D20" s="14" t="s">
        <v>58</v>
      </c>
      <c r="E20" s="14" t="s">
        <v>22</v>
      </c>
      <c r="F20" s="15" t="s">
        <v>27</v>
      </c>
      <c r="G20" s="15" t="s">
        <v>27</v>
      </c>
      <c r="K20" s="16"/>
    </row>
    <row r="21" spans="1:13">
      <c r="A21" t="s">
        <v>20</v>
      </c>
      <c r="B21" s="13">
        <v>72867</v>
      </c>
      <c r="C21" s="13">
        <v>40331</v>
      </c>
      <c r="D21" s="13">
        <v>40519</v>
      </c>
      <c r="E21" s="13">
        <v>40178</v>
      </c>
      <c r="F21" s="13">
        <v>40329</v>
      </c>
      <c r="G21" s="13">
        <f>F21+180</f>
        <v>40509</v>
      </c>
      <c r="K21" s="16"/>
    </row>
    <row r="22" spans="1:13">
      <c r="A22" t="s">
        <v>21</v>
      </c>
      <c r="B22" s="14" t="s">
        <v>23</v>
      </c>
      <c r="C22" s="14" t="s">
        <v>58</v>
      </c>
      <c r="D22" s="14" t="s">
        <v>58</v>
      </c>
      <c r="E22" s="14" t="s">
        <v>22</v>
      </c>
      <c r="F22" s="15" t="s">
        <v>29</v>
      </c>
      <c r="G22" s="15" t="s">
        <v>29</v>
      </c>
      <c r="K22" s="16"/>
    </row>
    <row r="23" spans="1:13">
      <c r="A23" t="s">
        <v>56</v>
      </c>
      <c r="C23" s="15">
        <f>25</f>
        <v>25</v>
      </c>
      <c r="D23">
        <f>C23/2</f>
        <v>12.5</v>
      </c>
      <c r="E23" s="18">
        <f>$B$10*$B$11</f>
        <v>13.05846153846154</v>
      </c>
      <c r="F23" s="18">
        <f>$B$8*$B$9</f>
        <v>32.56750000000001</v>
      </c>
      <c r="G23" s="18"/>
      <c r="K23" s="16"/>
    </row>
    <row r="24" spans="1:13">
      <c r="A24" t="s">
        <v>57</v>
      </c>
      <c r="B24" s="18">
        <f>AVERAGE(FREDconnect!$B$53:$B$64)</f>
        <v>110.76008333333334</v>
      </c>
      <c r="C24" s="8">
        <f>AVERAGE(FREDconnect!$B$47:$B$60)/$B24</f>
        <v>0.99290282826018095</v>
      </c>
      <c r="D24" s="8">
        <f>AVERAGE(FREDconnect!$B$61:$B$66)/UIBen!$B24</f>
        <v>1.0040696069056168</v>
      </c>
      <c r="E24" s="8">
        <f>VLOOKUP(DATE(2010,3,1),FREDconnect!$A$8:$B$99,2)/UIBen!$B24</f>
        <v>1.0014528398844047</v>
      </c>
      <c r="F24" s="8">
        <f>AVERAGE(FREDconnect!$B$44:$B$55)/$B24</f>
        <v>0.98563486695342239</v>
      </c>
      <c r="G24" s="8"/>
      <c r="K24" s="16"/>
    </row>
    <row r="25" spans="1:13">
      <c r="A25" t="s">
        <v>63</v>
      </c>
      <c r="B25" s="18">
        <f>B14</f>
        <v>1169.0249999999999</v>
      </c>
      <c r="C25" s="18">
        <f>C$23*52/(12*C$24)</f>
        <v>109.10768934273354</v>
      </c>
      <c r="D25" s="18">
        <f>D$23*52/(12*D$24)</f>
        <v>53.947123082033862</v>
      </c>
      <c r="E25" s="18">
        <f>E$23*52/(12*E$24)</f>
        <v>56.50457456708429</v>
      </c>
      <c r="F25" s="18">
        <f>F$23*52/(12*F$24)</f>
        <v>143.1826714588035</v>
      </c>
      <c r="G25" s="18">
        <f>F25/2</f>
        <v>71.591335729401749</v>
      </c>
      <c r="K25" s="16"/>
    </row>
    <row r="26" spans="1:13">
      <c r="K26" s="16"/>
    </row>
    <row r="27" spans="1:13">
      <c r="A27" s="2" t="s">
        <v>30</v>
      </c>
      <c r="B27" s="18">
        <f t="shared" ref="B27:G27" si="0">AVERAGE(B$74:B$85)</f>
        <v>1169.0249999999999</v>
      </c>
      <c r="C27" s="18">
        <f t="shared" si="0"/>
        <v>81.83076700705017</v>
      </c>
      <c r="D27" s="18">
        <f t="shared" si="0"/>
        <v>13.486780770508465</v>
      </c>
      <c r="E27" s="18">
        <f t="shared" si="0"/>
        <v>14.126143641771073</v>
      </c>
      <c r="F27" s="18">
        <f t="shared" si="0"/>
        <v>95.455114305869003</v>
      </c>
      <c r="G27" s="18">
        <f t="shared" si="0"/>
        <v>23.863778576467251</v>
      </c>
      <c r="H27" s="8"/>
      <c r="J27" s="8"/>
      <c r="K27" s="24">
        <f>AVERAGE(K$74:K$85)</f>
        <v>1397.7875843016657</v>
      </c>
      <c r="M27" s="24">
        <f>AVERAGE(M$74:M$85)</f>
        <v>0</v>
      </c>
    </row>
    <row r="28" spans="1:13">
      <c r="K28" s="16"/>
    </row>
    <row r="29" spans="1:13">
      <c r="A29" s="4">
        <v>38718</v>
      </c>
      <c r="B29" s="18">
        <f>IF($A29&gt;=B$19,IF($A29&lt;=B$21,B$25,0),0)</f>
        <v>1169.0249999999999</v>
      </c>
      <c r="C29" s="18">
        <f>IF($A29&gt;=C$19,IF($A29&lt;=C$21,C$25,0),0)</f>
        <v>0</v>
      </c>
      <c r="D29" s="18">
        <f t="shared" ref="D29:G29" si="1">IF($A29&gt;=D$19,IF($A29&lt;=D$21,D$25,0),0)</f>
        <v>0</v>
      </c>
      <c r="E29" s="18">
        <f t="shared" si="1"/>
        <v>0</v>
      </c>
      <c r="F29" s="18">
        <f t="shared" si="1"/>
        <v>0</v>
      </c>
      <c r="G29" s="18">
        <f t="shared" si="1"/>
        <v>0</v>
      </c>
      <c r="H29" s="8"/>
      <c r="J29" s="8"/>
      <c r="K29" s="24">
        <f>SUM(B29:G29)</f>
        <v>1169.0249999999999</v>
      </c>
      <c r="M29" s="24">
        <f>-$B$15*$B$16*B29</f>
        <v>0</v>
      </c>
    </row>
    <row r="30" spans="1:13">
      <c r="A30" s="4">
        <v>38749</v>
      </c>
      <c r="B30" s="18">
        <f t="shared" ref="B30:B93" si="2">IF($A30&gt;=B$19,IF($A30&lt;=B$21,B$25,0),0)</f>
        <v>1169.0249999999999</v>
      </c>
      <c r="C30" s="18">
        <f t="shared" ref="C30:G93" si="3">IF($A30&gt;=C$19,IF($A30&lt;=C$21,C$25,0),0)</f>
        <v>0</v>
      </c>
      <c r="D30" s="18">
        <f t="shared" si="3"/>
        <v>0</v>
      </c>
      <c r="E30" s="18">
        <f t="shared" si="3"/>
        <v>0</v>
      </c>
      <c r="F30" s="18">
        <f t="shared" si="3"/>
        <v>0</v>
      </c>
      <c r="G30" s="18">
        <f t="shared" si="3"/>
        <v>0</v>
      </c>
      <c r="H30" s="8"/>
      <c r="J30" s="8"/>
      <c r="K30" s="24">
        <f t="shared" ref="K30:K93" si="4">SUM(B30:G30)</f>
        <v>1169.0249999999999</v>
      </c>
      <c r="M30" s="24">
        <f t="shared" ref="M30:M93" si="5">-$B$15*$B$16*B30</f>
        <v>0</v>
      </c>
    </row>
    <row r="31" spans="1:13">
      <c r="A31" s="4">
        <v>38777</v>
      </c>
      <c r="B31" s="18">
        <f t="shared" si="2"/>
        <v>1169.0249999999999</v>
      </c>
      <c r="C31" s="18">
        <f t="shared" si="3"/>
        <v>0</v>
      </c>
      <c r="D31" s="18">
        <f t="shared" si="3"/>
        <v>0</v>
      </c>
      <c r="E31" s="18">
        <f t="shared" si="3"/>
        <v>0</v>
      </c>
      <c r="F31" s="18">
        <f t="shared" si="3"/>
        <v>0</v>
      </c>
      <c r="G31" s="18">
        <f t="shared" si="3"/>
        <v>0</v>
      </c>
      <c r="H31" s="8"/>
      <c r="J31" s="8"/>
      <c r="K31" s="24">
        <f t="shared" si="4"/>
        <v>1169.0249999999999</v>
      </c>
      <c r="M31" s="24">
        <f t="shared" si="5"/>
        <v>0</v>
      </c>
    </row>
    <row r="32" spans="1:13">
      <c r="A32" s="4">
        <v>38808</v>
      </c>
      <c r="B32" s="18">
        <f t="shared" si="2"/>
        <v>1169.0249999999999</v>
      </c>
      <c r="C32" s="18">
        <f t="shared" si="3"/>
        <v>0</v>
      </c>
      <c r="D32" s="18">
        <f t="shared" si="3"/>
        <v>0</v>
      </c>
      <c r="E32" s="18">
        <f t="shared" si="3"/>
        <v>0</v>
      </c>
      <c r="F32" s="18">
        <f t="shared" si="3"/>
        <v>0</v>
      </c>
      <c r="G32" s="18">
        <f t="shared" si="3"/>
        <v>0</v>
      </c>
      <c r="H32" s="8"/>
      <c r="J32" s="8"/>
      <c r="K32" s="24">
        <f t="shared" si="4"/>
        <v>1169.0249999999999</v>
      </c>
      <c r="M32" s="24">
        <f t="shared" si="5"/>
        <v>0</v>
      </c>
    </row>
    <row r="33" spans="1:13">
      <c r="A33" s="4">
        <v>38838</v>
      </c>
      <c r="B33" s="18">
        <f t="shared" si="2"/>
        <v>1169.0249999999999</v>
      </c>
      <c r="C33" s="18">
        <f t="shared" si="3"/>
        <v>0</v>
      </c>
      <c r="D33" s="18">
        <f t="shared" si="3"/>
        <v>0</v>
      </c>
      <c r="E33" s="18">
        <f t="shared" si="3"/>
        <v>0</v>
      </c>
      <c r="F33" s="18">
        <f t="shared" si="3"/>
        <v>0</v>
      </c>
      <c r="G33" s="18">
        <f t="shared" si="3"/>
        <v>0</v>
      </c>
      <c r="H33" s="8"/>
      <c r="J33" s="8"/>
      <c r="K33" s="24">
        <f t="shared" si="4"/>
        <v>1169.0249999999999</v>
      </c>
      <c r="M33" s="24">
        <f t="shared" si="5"/>
        <v>0</v>
      </c>
    </row>
    <row r="34" spans="1:13">
      <c r="A34" s="4">
        <v>38869</v>
      </c>
      <c r="B34" s="18">
        <f t="shared" si="2"/>
        <v>1169.0249999999999</v>
      </c>
      <c r="C34" s="18">
        <f t="shared" si="3"/>
        <v>0</v>
      </c>
      <c r="D34" s="18">
        <f t="shared" si="3"/>
        <v>0</v>
      </c>
      <c r="E34" s="18">
        <f t="shared" si="3"/>
        <v>0</v>
      </c>
      <c r="F34" s="18">
        <f t="shared" si="3"/>
        <v>0</v>
      </c>
      <c r="G34" s="18">
        <f t="shared" si="3"/>
        <v>0</v>
      </c>
      <c r="H34" s="8"/>
      <c r="J34" s="8"/>
      <c r="K34" s="24">
        <f t="shared" si="4"/>
        <v>1169.0249999999999</v>
      </c>
      <c r="M34" s="24">
        <f t="shared" si="5"/>
        <v>0</v>
      </c>
    </row>
    <row r="35" spans="1:13">
      <c r="A35" s="4">
        <v>38899</v>
      </c>
      <c r="B35" s="18">
        <f t="shared" si="2"/>
        <v>1169.0249999999999</v>
      </c>
      <c r="C35" s="18">
        <f t="shared" si="3"/>
        <v>0</v>
      </c>
      <c r="D35" s="18">
        <f t="shared" si="3"/>
        <v>0</v>
      </c>
      <c r="E35" s="18">
        <f t="shared" si="3"/>
        <v>0</v>
      </c>
      <c r="F35" s="18">
        <f t="shared" si="3"/>
        <v>0</v>
      </c>
      <c r="G35" s="18">
        <f t="shared" si="3"/>
        <v>0</v>
      </c>
      <c r="H35" s="8"/>
      <c r="J35" s="8"/>
      <c r="K35" s="24">
        <f t="shared" si="4"/>
        <v>1169.0249999999999</v>
      </c>
      <c r="M35" s="24">
        <f t="shared" si="5"/>
        <v>0</v>
      </c>
    </row>
    <row r="36" spans="1:13">
      <c r="A36" s="4">
        <v>38930</v>
      </c>
      <c r="B36" s="18">
        <f t="shared" si="2"/>
        <v>1169.0249999999999</v>
      </c>
      <c r="C36" s="18">
        <f t="shared" si="3"/>
        <v>0</v>
      </c>
      <c r="D36" s="18">
        <f t="shared" si="3"/>
        <v>0</v>
      </c>
      <c r="E36" s="18">
        <f t="shared" si="3"/>
        <v>0</v>
      </c>
      <c r="F36" s="18">
        <f t="shared" si="3"/>
        <v>0</v>
      </c>
      <c r="G36" s="18">
        <f t="shared" si="3"/>
        <v>0</v>
      </c>
      <c r="H36" s="8"/>
      <c r="J36" s="8"/>
      <c r="K36" s="24">
        <f t="shared" si="4"/>
        <v>1169.0249999999999</v>
      </c>
      <c r="M36" s="24">
        <f t="shared" si="5"/>
        <v>0</v>
      </c>
    </row>
    <row r="37" spans="1:13">
      <c r="A37" s="4">
        <v>38961</v>
      </c>
      <c r="B37" s="18">
        <f t="shared" si="2"/>
        <v>1169.0249999999999</v>
      </c>
      <c r="C37" s="18">
        <f t="shared" si="3"/>
        <v>0</v>
      </c>
      <c r="D37" s="18">
        <f t="shared" si="3"/>
        <v>0</v>
      </c>
      <c r="E37" s="18">
        <f t="shared" si="3"/>
        <v>0</v>
      </c>
      <c r="F37" s="18">
        <f t="shared" si="3"/>
        <v>0</v>
      </c>
      <c r="G37" s="18">
        <f t="shared" si="3"/>
        <v>0</v>
      </c>
      <c r="H37" s="8"/>
      <c r="J37" s="8"/>
      <c r="K37" s="24">
        <f t="shared" si="4"/>
        <v>1169.0249999999999</v>
      </c>
      <c r="M37" s="24">
        <f t="shared" si="5"/>
        <v>0</v>
      </c>
    </row>
    <row r="38" spans="1:13">
      <c r="A38" s="4">
        <v>38991</v>
      </c>
      <c r="B38" s="18">
        <f t="shared" si="2"/>
        <v>1169.0249999999999</v>
      </c>
      <c r="C38" s="18">
        <f t="shared" si="3"/>
        <v>0</v>
      </c>
      <c r="D38" s="18">
        <f t="shared" si="3"/>
        <v>0</v>
      </c>
      <c r="E38" s="18">
        <f t="shared" si="3"/>
        <v>0</v>
      </c>
      <c r="F38" s="18">
        <f t="shared" si="3"/>
        <v>0</v>
      </c>
      <c r="G38" s="18">
        <f t="shared" si="3"/>
        <v>0</v>
      </c>
      <c r="H38" s="8"/>
      <c r="J38" s="8"/>
      <c r="K38" s="24">
        <f t="shared" si="4"/>
        <v>1169.0249999999999</v>
      </c>
      <c r="M38" s="24">
        <f t="shared" si="5"/>
        <v>0</v>
      </c>
    </row>
    <row r="39" spans="1:13">
      <c r="A39" s="4">
        <v>39022</v>
      </c>
      <c r="B39" s="18">
        <f t="shared" si="2"/>
        <v>1169.0249999999999</v>
      </c>
      <c r="C39" s="18">
        <f t="shared" si="3"/>
        <v>0</v>
      </c>
      <c r="D39" s="18">
        <f t="shared" si="3"/>
        <v>0</v>
      </c>
      <c r="E39" s="18">
        <f t="shared" si="3"/>
        <v>0</v>
      </c>
      <c r="F39" s="18">
        <f t="shared" si="3"/>
        <v>0</v>
      </c>
      <c r="G39" s="18">
        <f t="shared" si="3"/>
        <v>0</v>
      </c>
      <c r="H39" s="8"/>
      <c r="J39" s="8"/>
      <c r="K39" s="24">
        <f t="shared" si="4"/>
        <v>1169.0249999999999</v>
      </c>
      <c r="M39" s="24">
        <f t="shared" si="5"/>
        <v>0</v>
      </c>
    </row>
    <row r="40" spans="1:13">
      <c r="A40" s="4">
        <v>39052</v>
      </c>
      <c r="B40" s="18">
        <f t="shared" si="2"/>
        <v>1169.0249999999999</v>
      </c>
      <c r="C40" s="18">
        <f t="shared" si="3"/>
        <v>0</v>
      </c>
      <c r="D40" s="18">
        <f t="shared" si="3"/>
        <v>0</v>
      </c>
      <c r="E40" s="18">
        <f t="shared" si="3"/>
        <v>0</v>
      </c>
      <c r="F40" s="18">
        <f t="shared" si="3"/>
        <v>0</v>
      </c>
      <c r="G40" s="18">
        <f t="shared" si="3"/>
        <v>0</v>
      </c>
      <c r="H40" s="8"/>
      <c r="J40" s="8"/>
      <c r="K40" s="24">
        <f t="shared" si="4"/>
        <v>1169.0249999999999</v>
      </c>
      <c r="M40" s="24">
        <f t="shared" si="5"/>
        <v>0</v>
      </c>
    </row>
    <row r="41" spans="1:13">
      <c r="A41" s="4">
        <v>39083</v>
      </c>
      <c r="B41" s="18">
        <f t="shared" si="2"/>
        <v>1169.0249999999999</v>
      </c>
      <c r="C41" s="18">
        <f t="shared" si="3"/>
        <v>0</v>
      </c>
      <c r="D41" s="18">
        <f t="shared" si="3"/>
        <v>0</v>
      </c>
      <c r="E41" s="18">
        <f t="shared" si="3"/>
        <v>0</v>
      </c>
      <c r="F41" s="18">
        <f t="shared" si="3"/>
        <v>0</v>
      </c>
      <c r="G41" s="18">
        <f t="shared" si="3"/>
        <v>0</v>
      </c>
      <c r="H41" s="8"/>
      <c r="J41" s="8"/>
      <c r="K41" s="24">
        <f t="shared" si="4"/>
        <v>1169.0249999999999</v>
      </c>
      <c r="M41" s="24">
        <f t="shared" si="5"/>
        <v>0</v>
      </c>
    </row>
    <row r="42" spans="1:13">
      <c r="A42" s="4">
        <v>39114</v>
      </c>
      <c r="B42" s="18">
        <f t="shared" si="2"/>
        <v>1169.0249999999999</v>
      </c>
      <c r="C42" s="18">
        <f t="shared" si="3"/>
        <v>0</v>
      </c>
      <c r="D42" s="18">
        <f t="shared" si="3"/>
        <v>0</v>
      </c>
      <c r="E42" s="18">
        <f t="shared" si="3"/>
        <v>0</v>
      </c>
      <c r="F42" s="18">
        <f t="shared" si="3"/>
        <v>0</v>
      </c>
      <c r="G42" s="18">
        <f t="shared" si="3"/>
        <v>0</v>
      </c>
      <c r="H42" s="8"/>
      <c r="J42" s="8"/>
      <c r="K42" s="24">
        <f t="shared" si="4"/>
        <v>1169.0249999999999</v>
      </c>
      <c r="M42" s="24">
        <f t="shared" si="5"/>
        <v>0</v>
      </c>
    </row>
    <row r="43" spans="1:13">
      <c r="A43" s="4">
        <v>39142</v>
      </c>
      <c r="B43" s="18">
        <f t="shared" si="2"/>
        <v>1169.0249999999999</v>
      </c>
      <c r="C43" s="18">
        <f t="shared" si="3"/>
        <v>0</v>
      </c>
      <c r="D43" s="18">
        <f t="shared" si="3"/>
        <v>0</v>
      </c>
      <c r="E43" s="18">
        <f t="shared" si="3"/>
        <v>0</v>
      </c>
      <c r="F43" s="18">
        <f t="shared" si="3"/>
        <v>0</v>
      </c>
      <c r="G43" s="18">
        <f t="shared" si="3"/>
        <v>0</v>
      </c>
      <c r="H43" s="8"/>
      <c r="J43" s="8"/>
      <c r="K43" s="24">
        <f t="shared" si="4"/>
        <v>1169.0249999999999</v>
      </c>
      <c r="M43" s="24">
        <f t="shared" si="5"/>
        <v>0</v>
      </c>
    </row>
    <row r="44" spans="1:13">
      <c r="A44" s="4">
        <v>39173</v>
      </c>
      <c r="B44" s="18">
        <f t="shared" si="2"/>
        <v>1169.0249999999999</v>
      </c>
      <c r="C44" s="18">
        <f t="shared" si="3"/>
        <v>0</v>
      </c>
      <c r="D44" s="18">
        <f t="shared" si="3"/>
        <v>0</v>
      </c>
      <c r="E44" s="18">
        <f t="shared" si="3"/>
        <v>0</v>
      </c>
      <c r="F44" s="18">
        <f t="shared" si="3"/>
        <v>0</v>
      </c>
      <c r="G44" s="18">
        <f t="shared" si="3"/>
        <v>0</v>
      </c>
      <c r="H44" s="8"/>
      <c r="J44" s="8"/>
      <c r="K44" s="24">
        <f t="shared" si="4"/>
        <v>1169.0249999999999</v>
      </c>
      <c r="M44" s="24">
        <f t="shared" si="5"/>
        <v>0</v>
      </c>
    </row>
    <row r="45" spans="1:13">
      <c r="A45" s="4">
        <v>39203</v>
      </c>
      <c r="B45" s="18">
        <f t="shared" si="2"/>
        <v>1169.0249999999999</v>
      </c>
      <c r="C45" s="18">
        <f t="shared" si="3"/>
        <v>0</v>
      </c>
      <c r="D45" s="18">
        <f t="shared" si="3"/>
        <v>0</v>
      </c>
      <c r="E45" s="18">
        <f t="shared" si="3"/>
        <v>0</v>
      </c>
      <c r="F45" s="18">
        <f t="shared" si="3"/>
        <v>0</v>
      </c>
      <c r="G45" s="18">
        <f t="shared" si="3"/>
        <v>0</v>
      </c>
      <c r="H45" s="8"/>
      <c r="J45" s="8"/>
      <c r="K45" s="24">
        <f t="shared" si="4"/>
        <v>1169.0249999999999</v>
      </c>
      <c r="M45" s="24">
        <f t="shared" si="5"/>
        <v>0</v>
      </c>
    </row>
    <row r="46" spans="1:13">
      <c r="A46" s="4">
        <v>39234</v>
      </c>
      <c r="B46" s="18">
        <f t="shared" si="2"/>
        <v>1169.0249999999999</v>
      </c>
      <c r="C46" s="18">
        <f t="shared" si="3"/>
        <v>0</v>
      </c>
      <c r="D46" s="18">
        <f t="shared" si="3"/>
        <v>0</v>
      </c>
      <c r="E46" s="18">
        <f t="shared" si="3"/>
        <v>0</v>
      </c>
      <c r="F46" s="18">
        <f t="shared" si="3"/>
        <v>0</v>
      </c>
      <c r="G46" s="18">
        <f t="shared" si="3"/>
        <v>0</v>
      </c>
      <c r="H46" s="8"/>
      <c r="J46" s="8"/>
      <c r="K46" s="24">
        <f t="shared" si="4"/>
        <v>1169.0249999999999</v>
      </c>
      <c r="M46" s="24">
        <f t="shared" si="5"/>
        <v>0</v>
      </c>
    </row>
    <row r="47" spans="1:13">
      <c r="A47" s="4">
        <v>39264</v>
      </c>
      <c r="B47" s="18">
        <f t="shared" si="2"/>
        <v>1169.0249999999999</v>
      </c>
      <c r="C47" s="18">
        <f t="shared" si="3"/>
        <v>0</v>
      </c>
      <c r="D47" s="18">
        <f t="shared" si="3"/>
        <v>0</v>
      </c>
      <c r="E47" s="18">
        <f t="shared" si="3"/>
        <v>0</v>
      </c>
      <c r="F47" s="18">
        <f t="shared" si="3"/>
        <v>0</v>
      </c>
      <c r="G47" s="18">
        <f t="shared" si="3"/>
        <v>0</v>
      </c>
      <c r="H47" s="8"/>
      <c r="J47" s="8"/>
      <c r="K47" s="24">
        <f t="shared" si="4"/>
        <v>1169.0249999999999</v>
      </c>
      <c r="M47" s="24">
        <f t="shared" si="5"/>
        <v>0</v>
      </c>
    </row>
    <row r="48" spans="1:13">
      <c r="A48" s="4">
        <v>39295</v>
      </c>
      <c r="B48" s="18">
        <f t="shared" si="2"/>
        <v>1169.0249999999999</v>
      </c>
      <c r="C48" s="18">
        <f t="shared" si="3"/>
        <v>0</v>
      </c>
      <c r="D48" s="18">
        <f t="shared" si="3"/>
        <v>0</v>
      </c>
      <c r="E48" s="18">
        <f t="shared" si="3"/>
        <v>0</v>
      </c>
      <c r="F48" s="18">
        <f t="shared" si="3"/>
        <v>0</v>
      </c>
      <c r="G48" s="18">
        <f t="shared" si="3"/>
        <v>0</v>
      </c>
      <c r="H48" s="8"/>
      <c r="J48" s="8"/>
      <c r="K48" s="24">
        <f t="shared" si="4"/>
        <v>1169.0249999999999</v>
      </c>
      <c r="M48" s="24">
        <f t="shared" si="5"/>
        <v>0</v>
      </c>
    </row>
    <row r="49" spans="1:13">
      <c r="A49" s="4">
        <v>39326</v>
      </c>
      <c r="B49" s="18">
        <f t="shared" si="2"/>
        <v>1169.0249999999999</v>
      </c>
      <c r="C49" s="18">
        <f t="shared" si="3"/>
        <v>0</v>
      </c>
      <c r="D49" s="18">
        <f t="shared" si="3"/>
        <v>0</v>
      </c>
      <c r="E49" s="18">
        <f t="shared" si="3"/>
        <v>0</v>
      </c>
      <c r="F49" s="18">
        <f t="shared" si="3"/>
        <v>0</v>
      </c>
      <c r="G49" s="18">
        <f t="shared" si="3"/>
        <v>0</v>
      </c>
      <c r="H49" s="8"/>
      <c r="J49" s="8"/>
      <c r="K49" s="24">
        <f t="shared" si="4"/>
        <v>1169.0249999999999</v>
      </c>
      <c r="M49" s="24">
        <f t="shared" si="5"/>
        <v>0</v>
      </c>
    </row>
    <row r="50" spans="1:13">
      <c r="A50" s="4">
        <v>39356</v>
      </c>
      <c r="B50" s="18">
        <f t="shared" si="2"/>
        <v>1169.0249999999999</v>
      </c>
      <c r="C50" s="18">
        <f t="shared" si="3"/>
        <v>0</v>
      </c>
      <c r="D50" s="18">
        <f t="shared" si="3"/>
        <v>0</v>
      </c>
      <c r="E50" s="18">
        <f t="shared" si="3"/>
        <v>0</v>
      </c>
      <c r="F50" s="18">
        <f t="shared" si="3"/>
        <v>0</v>
      </c>
      <c r="G50" s="18">
        <f t="shared" si="3"/>
        <v>0</v>
      </c>
      <c r="H50" s="8"/>
      <c r="J50" s="8"/>
      <c r="K50" s="24">
        <f t="shared" si="4"/>
        <v>1169.0249999999999</v>
      </c>
      <c r="M50" s="24">
        <f t="shared" si="5"/>
        <v>0</v>
      </c>
    </row>
    <row r="51" spans="1:13">
      <c r="A51" s="4">
        <v>39387</v>
      </c>
      <c r="B51" s="18">
        <f t="shared" si="2"/>
        <v>1169.0249999999999</v>
      </c>
      <c r="C51" s="18">
        <f t="shared" si="3"/>
        <v>0</v>
      </c>
      <c r="D51" s="18">
        <f t="shared" si="3"/>
        <v>0</v>
      </c>
      <c r="E51" s="18">
        <f t="shared" si="3"/>
        <v>0</v>
      </c>
      <c r="F51" s="18">
        <f t="shared" si="3"/>
        <v>0</v>
      </c>
      <c r="G51" s="18">
        <f t="shared" si="3"/>
        <v>0</v>
      </c>
      <c r="H51" s="8"/>
      <c r="J51" s="8"/>
      <c r="K51" s="24">
        <f t="shared" si="4"/>
        <v>1169.0249999999999</v>
      </c>
      <c r="M51" s="24">
        <f t="shared" si="5"/>
        <v>0</v>
      </c>
    </row>
    <row r="52" spans="1:13">
      <c r="A52" s="4">
        <v>39417</v>
      </c>
      <c r="B52" s="18">
        <f t="shared" si="2"/>
        <v>1169.0249999999999</v>
      </c>
      <c r="C52" s="18">
        <f t="shared" si="3"/>
        <v>0</v>
      </c>
      <c r="D52" s="18">
        <f t="shared" si="3"/>
        <v>0</v>
      </c>
      <c r="E52" s="18">
        <f t="shared" si="3"/>
        <v>0</v>
      </c>
      <c r="F52" s="18">
        <f t="shared" si="3"/>
        <v>0</v>
      </c>
      <c r="G52" s="18">
        <f t="shared" si="3"/>
        <v>0</v>
      </c>
      <c r="H52" s="8"/>
      <c r="J52" s="8"/>
      <c r="K52" s="24">
        <f t="shared" si="4"/>
        <v>1169.0249999999999</v>
      </c>
      <c r="M52" s="24">
        <f t="shared" si="5"/>
        <v>0</v>
      </c>
    </row>
    <row r="53" spans="1:13">
      <c r="A53" s="4">
        <v>39448</v>
      </c>
      <c r="B53" s="18">
        <f t="shared" si="2"/>
        <v>1169.0249999999999</v>
      </c>
      <c r="C53" s="18">
        <f t="shared" si="3"/>
        <v>0</v>
      </c>
      <c r="D53" s="18">
        <f t="shared" si="3"/>
        <v>0</v>
      </c>
      <c r="E53" s="18">
        <f t="shared" si="3"/>
        <v>0</v>
      </c>
      <c r="F53" s="18">
        <f t="shared" si="3"/>
        <v>0</v>
      </c>
      <c r="G53" s="18">
        <f t="shared" si="3"/>
        <v>0</v>
      </c>
      <c r="H53" s="8"/>
      <c r="J53" s="8"/>
      <c r="K53" s="24">
        <f t="shared" si="4"/>
        <v>1169.0249999999999</v>
      </c>
      <c r="M53" s="24">
        <f t="shared" si="5"/>
        <v>0</v>
      </c>
    </row>
    <row r="54" spans="1:13">
      <c r="A54" s="4">
        <v>39479</v>
      </c>
      <c r="B54" s="18">
        <f t="shared" si="2"/>
        <v>1169.0249999999999</v>
      </c>
      <c r="C54" s="18">
        <f t="shared" si="3"/>
        <v>0</v>
      </c>
      <c r="D54" s="18">
        <f t="shared" si="3"/>
        <v>0</v>
      </c>
      <c r="E54" s="18">
        <f t="shared" si="3"/>
        <v>0</v>
      </c>
      <c r="F54" s="18">
        <f t="shared" si="3"/>
        <v>0</v>
      </c>
      <c r="G54" s="18">
        <f t="shared" si="3"/>
        <v>0</v>
      </c>
      <c r="H54" s="8"/>
      <c r="J54" s="8"/>
      <c r="K54" s="24">
        <f t="shared" si="4"/>
        <v>1169.0249999999999</v>
      </c>
      <c r="M54" s="24">
        <f t="shared" si="5"/>
        <v>0</v>
      </c>
    </row>
    <row r="55" spans="1:13">
      <c r="A55" s="4">
        <v>39508</v>
      </c>
      <c r="B55" s="18">
        <f t="shared" si="2"/>
        <v>1169.0249999999999</v>
      </c>
      <c r="C55" s="18">
        <f t="shared" si="3"/>
        <v>0</v>
      </c>
      <c r="D55" s="18">
        <f t="shared" si="3"/>
        <v>0</v>
      </c>
      <c r="E55" s="18">
        <f t="shared" si="3"/>
        <v>0</v>
      </c>
      <c r="F55" s="18">
        <f t="shared" si="3"/>
        <v>0</v>
      </c>
      <c r="G55" s="18">
        <f t="shared" si="3"/>
        <v>0</v>
      </c>
      <c r="H55" s="8"/>
      <c r="J55" s="8"/>
      <c r="K55" s="24">
        <f t="shared" si="4"/>
        <v>1169.0249999999999</v>
      </c>
      <c r="M55" s="24">
        <f t="shared" si="5"/>
        <v>0</v>
      </c>
    </row>
    <row r="56" spans="1:13">
      <c r="A56" s="4">
        <v>39539</v>
      </c>
      <c r="B56" s="18">
        <f t="shared" si="2"/>
        <v>1169.0249999999999</v>
      </c>
      <c r="C56" s="18">
        <f t="shared" si="3"/>
        <v>0</v>
      </c>
      <c r="D56" s="18">
        <f t="shared" si="3"/>
        <v>0</v>
      </c>
      <c r="E56" s="18">
        <f t="shared" si="3"/>
        <v>0</v>
      </c>
      <c r="F56" s="18">
        <f t="shared" si="3"/>
        <v>0</v>
      </c>
      <c r="G56" s="18">
        <f t="shared" si="3"/>
        <v>0</v>
      </c>
      <c r="H56" s="8"/>
      <c r="J56" s="8"/>
      <c r="K56" s="24">
        <f t="shared" si="4"/>
        <v>1169.0249999999999</v>
      </c>
      <c r="M56" s="24">
        <f t="shared" si="5"/>
        <v>0</v>
      </c>
    </row>
    <row r="57" spans="1:13">
      <c r="A57" s="4">
        <v>39569</v>
      </c>
      <c r="B57" s="18">
        <f t="shared" si="2"/>
        <v>1169.0249999999999</v>
      </c>
      <c r="C57" s="18">
        <f t="shared" si="3"/>
        <v>0</v>
      </c>
      <c r="D57" s="18">
        <f t="shared" si="3"/>
        <v>0</v>
      </c>
      <c r="E57" s="18">
        <f t="shared" si="3"/>
        <v>0</v>
      </c>
      <c r="F57" s="18">
        <f t="shared" si="3"/>
        <v>0</v>
      </c>
      <c r="G57" s="18">
        <f t="shared" si="3"/>
        <v>0</v>
      </c>
      <c r="H57" s="8"/>
      <c r="J57" s="8"/>
      <c r="K57" s="24">
        <f t="shared" si="4"/>
        <v>1169.0249999999999</v>
      </c>
      <c r="M57" s="24">
        <f t="shared" si="5"/>
        <v>0</v>
      </c>
    </row>
    <row r="58" spans="1:13">
      <c r="A58" s="4">
        <v>39600</v>
      </c>
      <c r="B58" s="18">
        <f t="shared" si="2"/>
        <v>1169.0249999999999</v>
      </c>
      <c r="C58" s="18">
        <f t="shared" si="3"/>
        <v>0</v>
      </c>
      <c r="D58" s="18">
        <f t="shared" si="3"/>
        <v>0</v>
      </c>
      <c r="E58" s="18">
        <f t="shared" si="3"/>
        <v>0</v>
      </c>
      <c r="F58" s="18">
        <f t="shared" si="3"/>
        <v>0</v>
      </c>
      <c r="G58" s="18">
        <f t="shared" si="3"/>
        <v>0</v>
      </c>
      <c r="H58" s="8"/>
      <c r="J58" s="8"/>
      <c r="K58" s="24">
        <f t="shared" si="4"/>
        <v>1169.0249999999999</v>
      </c>
      <c r="M58" s="24">
        <f t="shared" si="5"/>
        <v>0</v>
      </c>
    </row>
    <row r="59" spans="1:13">
      <c r="A59" s="4">
        <v>39630</v>
      </c>
      <c r="B59" s="18">
        <f t="shared" si="2"/>
        <v>1169.0249999999999</v>
      </c>
      <c r="C59" s="18">
        <f t="shared" si="3"/>
        <v>0</v>
      </c>
      <c r="D59" s="18">
        <f t="shared" si="3"/>
        <v>0</v>
      </c>
      <c r="E59" s="18">
        <f t="shared" si="3"/>
        <v>0</v>
      </c>
      <c r="F59" s="18">
        <f t="shared" si="3"/>
        <v>0</v>
      </c>
      <c r="G59" s="18">
        <f t="shared" si="3"/>
        <v>0</v>
      </c>
      <c r="H59" s="8"/>
      <c r="J59" s="8"/>
      <c r="K59" s="24">
        <f t="shared" si="4"/>
        <v>1169.0249999999999</v>
      </c>
      <c r="M59" s="24">
        <f t="shared" si="5"/>
        <v>0</v>
      </c>
    </row>
    <row r="60" spans="1:13">
      <c r="A60" s="4">
        <v>39661</v>
      </c>
      <c r="B60" s="18">
        <f t="shared" si="2"/>
        <v>1169.0249999999999</v>
      </c>
      <c r="C60" s="18">
        <f t="shared" si="3"/>
        <v>0</v>
      </c>
      <c r="D60" s="18">
        <f t="shared" si="3"/>
        <v>0</v>
      </c>
      <c r="E60" s="18">
        <f t="shared" si="3"/>
        <v>0</v>
      </c>
      <c r="F60" s="18">
        <f t="shared" si="3"/>
        <v>0</v>
      </c>
      <c r="G60" s="18">
        <f t="shared" si="3"/>
        <v>0</v>
      </c>
      <c r="H60" s="8"/>
      <c r="J60" s="8"/>
      <c r="K60" s="24">
        <f t="shared" si="4"/>
        <v>1169.0249999999999</v>
      </c>
      <c r="M60" s="24">
        <f t="shared" si="5"/>
        <v>0</v>
      </c>
    </row>
    <row r="61" spans="1:13">
      <c r="A61" s="4">
        <v>39692</v>
      </c>
      <c r="B61" s="18">
        <f t="shared" si="2"/>
        <v>1169.0249999999999</v>
      </c>
      <c r="C61" s="18">
        <f t="shared" si="3"/>
        <v>0</v>
      </c>
      <c r="D61" s="18">
        <f t="shared" si="3"/>
        <v>0</v>
      </c>
      <c r="E61" s="18">
        <f t="shared" si="3"/>
        <v>0</v>
      </c>
      <c r="F61" s="18">
        <f t="shared" si="3"/>
        <v>0</v>
      </c>
      <c r="G61" s="18">
        <f t="shared" si="3"/>
        <v>0</v>
      </c>
      <c r="H61" s="8"/>
      <c r="J61" s="8"/>
      <c r="K61" s="24">
        <f t="shared" si="4"/>
        <v>1169.0249999999999</v>
      </c>
      <c r="M61" s="24">
        <f t="shared" si="5"/>
        <v>0</v>
      </c>
    </row>
    <row r="62" spans="1:13">
      <c r="A62" s="4">
        <v>39722</v>
      </c>
      <c r="B62" s="18">
        <f t="shared" si="2"/>
        <v>1169.0249999999999</v>
      </c>
      <c r="C62" s="18">
        <f t="shared" si="3"/>
        <v>0</v>
      </c>
      <c r="D62" s="18">
        <f t="shared" si="3"/>
        <v>0</v>
      </c>
      <c r="E62" s="18">
        <f t="shared" si="3"/>
        <v>0</v>
      </c>
      <c r="F62" s="18">
        <f t="shared" si="3"/>
        <v>0</v>
      </c>
      <c r="G62" s="18">
        <f t="shared" si="3"/>
        <v>0</v>
      </c>
      <c r="H62" s="8"/>
      <c r="J62" s="8"/>
      <c r="K62" s="24">
        <f t="shared" si="4"/>
        <v>1169.0249999999999</v>
      </c>
      <c r="M62" s="24">
        <f t="shared" si="5"/>
        <v>0</v>
      </c>
    </row>
    <row r="63" spans="1:13">
      <c r="A63" s="4">
        <v>39753</v>
      </c>
      <c r="B63" s="18">
        <f t="shared" si="2"/>
        <v>1169.0249999999999</v>
      </c>
      <c r="C63" s="18">
        <f t="shared" si="3"/>
        <v>0</v>
      </c>
      <c r="D63" s="18">
        <f t="shared" si="3"/>
        <v>0</v>
      </c>
      <c r="E63" s="18">
        <f t="shared" si="3"/>
        <v>0</v>
      </c>
      <c r="F63" s="18">
        <f t="shared" si="3"/>
        <v>0</v>
      </c>
      <c r="G63" s="18">
        <f t="shared" si="3"/>
        <v>0</v>
      </c>
      <c r="H63" s="8"/>
      <c r="J63" s="8"/>
      <c r="K63" s="24">
        <f t="shared" si="4"/>
        <v>1169.0249999999999</v>
      </c>
      <c r="M63" s="24">
        <f t="shared" si="5"/>
        <v>0</v>
      </c>
    </row>
    <row r="64" spans="1:13">
      <c r="A64" s="4">
        <v>39783</v>
      </c>
      <c r="B64" s="18">
        <f t="shared" si="2"/>
        <v>1169.0249999999999</v>
      </c>
      <c r="C64" s="18">
        <f t="shared" si="3"/>
        <v>0</v>
      </c>
      <c r="D64" s="18">
        <f t="shared" si="3"/>
        <v>0</v>
      </c>
      <c r="E64" s="18">
        <f t="shared" si="3"/>
        <v>0</v>
      </c>
      <c r="F64" s="18">
        <f t="shared" si="3"/>
        <v>0</v>
      </c>
      <c r="G64" s="18">
        <f t="shared" si="3"/>
        <v>0</v>
      </c>
      <c r="H64" s="8"/>
      <c r="J64" s="8"/>
      <c r="K64" s="24">
        <f t="shared" si="4"/>
        <v>1169.0249999999999</v>
      </c>
      <c r="M64" s="24">
        <f t="shared" si="5"/>
        <v>0</v>
      </c>
    </row>
    <row r="65" spans="1:13">
      <c r="A65" s="4">
        <v>39814</v>
      </c>
      <c r="B65" s="18">
        <f t="shared" si="2"/>
        <v>1169.0249999999999</v>
      </c>
      <c r="C65" s="18">
        <f t="shared" si="3"/>
        <v>0</v>
      </c>
      <c r="D65" s="18">
        <f t="shared" si="3"/>
        <v>0</v>
      </c>
      <c r="E65" s="18">
        <f t="shared" si="3"/>
        <v>0</v>
      </c>
      <c r="F65" s="18">
        <f t="shared" si="3"/>
        <v>0</v>
      </c>
      <c r="G65" s="18">
        <f t="shared" si="3"/>
        <v>0</v>
      </c>
      <c r="H65" s="8"/>
      <c r="J65" s="8"/>
      <c r="K65" s="24">
        <f t="shared" si="4"/>
        <v>1169.0249999999999</v>
      </c>
      <c r="M65" s="24">
        <f t="shared" si="5"/>
        <v>0</v>
      </c>
    </row>
    <row r="66" spans="1:13">
      <c r="A66" s="4">
        <v>39845</v>
      </c>
      <c r="B66" s="18">
        <f t="shared" si="2"/>
        <v>1169.0249999999999</v>
      </c>
      <c r="C66" s="18">
        <f t="shared" si="3"/>
        <v>0</v>
      </c>
      <c r="D66" s="18">
        <f t="shared" si="3"/>
        <v>0</v>
      </c>
      <c r="E66" s="18">
        <f t="shared" si="3"/>
        <v>0</v>
      </c>
      <c r="F66" s="18">
        <f t="shared" si="3"/>
        <v>0</v>
      </c>
      <c r="G66" s="18">
        <f t="shared" si="3"/>
        <v>0</v>
      </c>
      <c r="H66" s="8"/>
      <c r="J66" s="8"/>
      <c r="K66" s="24">
        <f t="shared" si="4"/>
        <v>1169.0249999999999</v>
      </c>
      <c r="M66" s="24">
        <f t="shared" si="5"/>
        <v>0</v>
      </c>
    </row>
    <row r="67" spans="1:13">
      <c r="A67" s="4">
        <v>39873</v>
      </c>
      <c r="B67" s="18">
        <f t="shared" si="2"/>
        <v>1169.0249999999999</v>
      </c>
      <c r="C67" s="18">
        <f t="shared" si="3"/>
        <v>0</v>
      </c>
      <c r="D67" s="18">
        <f t="shared" si="3"/>
        <v>0</v>
      </c>
      <c r="E67" s="18">
        <f t="shared" si="3"/>
        <v>0</v>
      </c>
      <c r="F67" s="18">
        <f t="shared" si="3"/>
        <v>0</v>
      </c>
      <c r="G67" s="18">
        <f t="shared" si="3"/>
        <v>0</v>
      </c>
      <c r="H67" s="8"/>
      <c r="J67" s="8"/>
      <c r="K67" s="24">
        <f t="shared" si="4"/>
        <v>1169.0249999999999</v>
      </c>
      <c r="M67" s="24">
        <f t="shared" si="5"/>
        <v>0</v>
      </c>
    </row>
    <row r="68" spans="1:13">
      <c r="A68" s="4">
        <v>39904</v>
      </c>
      <c r="B68" s="18">
        <f t="shared" si="2"/>
        <v>1169.0249999999999</v>
      </c>
      <c r="C68" s="18">
        <f t="shared" si="3"/>
        <v>109.10768934273354</v>
      </c>
      <c r="D68" s="18">
        <f t="shared" si="3"/>
        <v>0</v>
      </c>
      <c r="E68" s="18">
        <f t="shared" si="3"/>
        <v>56.50457456708429</v>
      </c>
      <c r="F68" s="18">
        <f t="shared" si="3"/>
        <v>143.1826714588035</v>
      </c>
      <c r="G68" s="18">
        <f t="shared" si="3"/>
        <v>0</v>
      </c>
      <c r="H68" s="8"/>
      <c r="J68" s="8"/>
      <c r="K68" s="24">
        <f t="shared" si="4"/>
        <v>1477.8199353686211</v>
      </c>
      <c r="M68" s="24">
        <f t="shared" si="5"/>
        <v>0</v>
      </c>
    </row>
    <row r="69" spans="1:13">
      <c r="A69" s="4">
        <v>39934</v>
      </c>
      <c r="B69" s="18">
        <f t="shared" si="2"/>
        <v>1169.0249999999999</v>
      </c>
      <c r="C69" s="18">
        <f t="shared" si="3"/>
        <v>109.10768934273354</v>
      </c>
      <c r="D69" s="18">
        <f t="shared" si="3"/>
        <v>0</v>
      </c>
      <c r="E69" s="18">
        <f t="shared" si="3"/>
        <v>56.50457456708429</v>
      </c>
      <c r="F69" s="18">
        <f t="shared" si="3"/>
        <v>143.1826714588035</v>
      </c>
      <c r="G69" s="18">
        <f t="shared" si="3"/>
        <v>0</v>
      </c>
      <c r="H69" s="8"/>
      <c r="J69" s="8"/>
      <c r="K69" s="24">
        <f t="shared" si="4"/>
        <v>1477.8199353686211</v>
      </c>
      <c r="M69" s="24">
        <f t="shared" si="5"/>
        <v>0</v>
      </c>
    </row>
    <row r="70" spans="1:13">
      <c r="A70" s="4">
        <v>39965</v>
      </c>
      <c r="B70" s="18">
        <f t="shared" si="2"/>
        <v>1169.0249999999999</v>
      </c>
      <c r="C70" s="18">
        <f t="shared" si="3"/>
        <v>109.10768934273354</v>
      </c>
      <c r="D70" s="18">
        <f t="shared" si="3"/>
        <v>0</v>
      </c>
      <c r="E70" s="18">
        <f t="shared" si="3"/>
        <v>56.50457456708429</v>
      </c>
      <c r="F70" s="18">
        <f t="shared" si="3"/>
        <v>143.1826714588035</v>
      </c>
      <c r="G70" s="18">
        <f t="shared" si="3"/>
        <v>0</v>
      </c>
      <c r="H70" s="8"/>
      <c r="J70" s="8"/>
      <c r="K70" s="24">
        <f t="shared" si="4"/>
        <v>1477.8199353686211</v>
      </c>
      <c r="M70" s="24">
        <f t="shared" si="5"/>
        <v>0</v>
      </c>
    </row>
    <row r="71" spans="1:13">
      <c r="A71" s="4">
        <v>39995</v>
      </c>
      <c r="B71" s="18">
        <f t="shared" si="2"/>
        <v>1169.0249999999999</v>
      </c>
      <c r="C71" s="18">
        <f t="shared" si="3"/>
        <v>109.10768934273354</v>
      </c>
      <c r="D71" s="18">
        <f t="shared" si="3"/>
        <v>0</v>
      </c>
      <c r="E71" s="18">
        <f t="shared" si="3"/>
        <v>56.50457456708429</v>
      </c>
      <c r="F71" s="18">
        <f t="shared" si="3"/>
        <v>143.1826714588035</v>
      </c>
      <c r="G71" s="18">
        <f t="shared" si="3"/>
        <v>0</v>
      </c>
      <c r="H71" s="8"/>
      <c r="J71" s="8"/>
      <c r="K71" s="24">
        <f t="shared" si="4"/>
        <v>1477.8199353686211</v>
      </c>
      <c r="M71" s="24">
        <f t="shared" si="5"/>
        <v>0</v>
      </c>
    </row>
    <row r="72" spans="1:13">
      <c r="A72" s="4">
        <v>40026</v>
      </c>
      <c r="B72" s="18">
        <f t="shared" si="2"/>
        <v>1169.0249999999999</v>
      </c>
      <c r="C72" s="18">
        <f t="shared" si="3"/>
        <v>109.10768934273354</v>
      </c>
      <c r="D72" s="18">
        <f t="shared" si="3"/>
        <v>0</v>
      </c>
      <c r="E72" s="18">
        <f t="shared" si="3"/>
        <v>56.50457456708429</v>
      </c>
      <c r="F72" s="18">
        <f t="shared" si="3"/>
        <v>143.1826714588035</v>
      </c>
      <c r="G72" s="18">
        <f t="shared" si="3"/>
        <v>0</v>
      </c>
      <c r="H72" s="8"/>
      <c r="J72" s="8"/>
      <c r="K72" s="24">
        <f t="shared" si="4"/>
        <v>1477.8199353686211</v>
      </c>
      <c r="M72" s="24">
        <f t="shared" si="5"/>
        <v>0</v>
      </c>
    </row>
    <row r="73" spans="1:13">
      <c r="A73" s="4">
        <v>40057</v>
      </c>
      <c r="B73" s="18">
        <f t="shared" si="2"/>
        <v>1169.0249999999999</v>
      </c>
      <c r="C73" s="18">
        <f t="shared" si="3"/>
        <v>109.10768934273354</v>
      </c>
      <c r="D73" s="18">
        <f t="shared" si="3"/>
        <v>0</v>
      </c>
      <c r="E73" s="18">
        <f t="shared" si="3"/>
        <v>56.50457456708429</v>
      </c>
      <c r="F73" s="18">
        <f t="shared" si="3"/>
        <v>143.1826714588035</v>
      </c>
      <c r="G73" s="18">
        <f t="shared" si="3"/>
        <v>0</v>
      </c>
      <c r="H73" s="8"/>
      <c r="J73" s="8"/>
      <c r="K73" s="24">
        <f t="shared" si="4"/>
        <v>1477.8199353686211</v>
      </c>
      <c r="M73" s="24">
        <f t="shared" si="5"/>
        <v>0</v>
      </c>
    </row>
    <row r="74" spans="1:13">
      <c r="A74" s="4">
        <v>40087</v>
      </c>
      <c r="B74" s="18">
        <f t="shared" si="2"/>
        <v>1169.0249999999999</v>
      </c>
      <c r="C74" s="18">
        <f t="shared" si="3"/>
        <v>109.10768934273354</v>
      </c>
      <c r="D74" s="18">
        <f t="shared" si="3"/>
        <v>0</v>
      </c>
      <c r="E74" s="18">
        <f t="shared" si="3"/>
        <v>56.50457456708429</v>
      </c>
      <c r="F74" s="18">
        <f t="shared" si="3"/>
        <v>143.1826714588035</v>
      </c>
      <c r="G74" s="18">
        <f t="shared" si="3"/>
        <v>0</v>
      </c>
      <c r="H74" s="8"/>
      <c r="J74" s="8"/>
      <c r="K74" s="24">
        <f t="shared" si="4"/>
        <v>1477.8199353686211</v>
      </c>
      <c r="M74" s="24">
        <f t="shared" si="5"/>
        <v>0</v>
      </c>
    </row>
    <row r="75" spans="1:13">
      <c r="A75" s="4">
        <v>40118</v>
      </c>
      <c r="B75" s="18">
        <f t="shared" si="2"/>
        <v>1169.0249999999999</v>
      </c>
      <c r="C75" s="18">
        <f t="shared" si="3"/>
        <v>109.10768934273354</v>
      </c>
      <c r="D75" s="18">
        <f t="shared" si="3"/>
        <v>0</v>
      </c>
      <c r="E75" s="18">
        <f t="shared" si="3"/>
        <v>56.50457456708429</v>
      </c>
      <c r="F75" s="18">
        <f t="shared" si="3"/>
        <v>143.1826714588035</v>
      </c>
      <c r="G75" s="18">
        <f t="shared" si="3"/>
        <v>0</v>
      </c>
      <c r="H75" s="8"/>
      <c r="J75" s="8"/>
      <c r="K75" s="24">
        <f t="shared" si="4"/>
        <v>1477.8199353686211</v>
      </c>
      <c r="M75" s="24">
        <f t="shared" si="5"/>
        <v>0</v>
      </c>
    </row>
    <row r="76" spans="1:13">
      <c r="A76" s="4">
        <v>40148</v>
      </c>
      <c r="B76" s="18">
        <f t="shared" si="2"/>
        <v>1169.0249999999999</v>
      </c>
      <c r="C76" s="18">
        <f t="shared" si="3"/>
        <v>109.10768934273354</v>
      </c>
      <c r="D76" s="18">
        <f t="shared" si="3"/>
        <v>0</v>
      </c>
      <c r="E76" s="18">
        <f t="shared" si="3"/>
        <v>56.50457456708429</v>
      </c>
      <c r="F76" s="18">
        <f t="shared" si="3"/>
        <v>143.1826714588035</v>
      </c>
      <c r="G76" s="18">
        <f t="shared" si="3"/>
        <v>0</v>
      </c>
      <c r="H76" s="8"/>
      <c r="J76" s="8"/>
      <c r="K76" s="24">
        <f t="shared" si="4"/>
        <v>1477.8199353686211</v>
      </c>
      <c r="M76" s="24">
        <f t="shared" si="5"/>
        <v>0</v>
      </c>
    </row>
    <row r="77" spans="1:13">
      <c r="A77" s="4">
        <v>40179</v>
      </c>
      <c r="B77" s="18">
        <f t="shared" si="2"/>
        <v>1169.0249999999999</v>
      </c>
      <c r="C77" s="18">
        <f t="shared" si="3"/>
        <v>109.10768934273354</v>
      </c>
      <c r="D77" s="18">
        <f t="shared" si="3"/>
        <v>0</v>
      </c>
      <c r="E77" s="18">
        <f t="shared" si="3"/>
        <v>0</v>
      </c>
      <c r="F77" s="18">
        <f t="shared" si="3"/>
        <v>143.1826714588035</v>
      </c>
      <c r="G77" s="18">
        <f t="shared" ref="D77:G92" si="6">IF($A77&gt;=G$19,IF($A77&lt;=G$21,G$25,0),0)</f>
        <v>0</v>
      </c>
      <c r="H77" s="8"/>
      <c r="J77" s="8"/>
      <c r="K77" s="24">
        <f t="shared" si="4"/>
        <v>1421.3153608015368</v>
      </c>
      <c r="M77" s="24">
        <f t="shared" si="5"/>
        <v>0</v>
      </c>
    </row>
    <row r="78" spans="1:13">
      <c r="A78" s="4">
        <v>40210</v>
      </c>
      <c r="B78" s="18">
        <f t="shared" si="2"/>
        <v>1169.0249999999999</v>
      </c>
      <c r="C78" s="18">
        <f t="shared" si="3"/>
        <v>109.10768934273354</v>
      </c>
      <c r="D78" s="18">
        <f t="shared" si="6"/>
        <v>0</v>
      </c>
      <c r="E78" s="18">
        <f t="shared" si="6"/>
        <v>0</v>
      </c>
      <c r="F78" s="18">
        <f t="shared" si="6"/>
        <v>143.1826714588035</v>
      </c>
      <c r="G78" s="18">
        <f t="shared" si="6"/>
        <v>0</v>
      </c>
      <c r="H78" s="8"/>
      <c r="J78" s="8"/>
      <c r="K78" s="24">
        <f t="shared" si="4"/>
        <v>1421.3153608015368</v>
      </c>
      <c r="M78" s="24">
        <f t="shared" si="5"/>
        <v>0</v>
      </c>
    </row>
    <row r="79" spans="1:13">
      <c r="A79" s="4">
        <v>40238</v>
      </c>
      <c r="B79" s="18">
        <f t="shared" si="2"/>
        <v>1169.0249999999999</v>
      </c>
      <c r="C79" s="18">
        <f t="shared" si="3"/>
        <v>109.10768934273354</v>
      </c>
      <c r="D79" s="18">
        <f t="shared" si="6"/>
        <v>0</v>
      </c>
      <c r="E79" s="18">
        <f t="shared" si="6"/>
        <v>0</v>
      </c>
      <c r="F79" s="18">
        <f t="shared" si="6"/>
        <v>143.1826714588035</v>
      </c>
      <c r="G79" s="18">
        <f t="shared" si="6"/>
        <v>0</v>
      </c>
      <c r="H79" s="8"/>
      <c r="J79" s="8"/>
      <c r="K79" s="24">
        <f t="shared" si="4"/>
        <v>1421.3153608015368</v>
      </c>
      <c r="M79" s="24">
        <f t="shared" si="5"/>
        <v>0</v>
      </c>
    </row>
    <row r="80" spans="1:13">
      <c r="A80" s="4">
        <v>40269</v>
      </c>
      <c r="B80" s="18">
        <f t="shared" si="2"/>
        <v>1169.0249999999999</v>
      </c>
      <c r="C80" s="18">
        <f t="shared" si="3"/>
        <v>109.10768934273354</v>
      </c>
      <c r="D80" s="18">
        <f t="shared" si="6"/>
        <v>0</v>
      </c>
      <c r="E80" s="18">
        <f t="shared" si="6"/>
        <v>0</v>
      </c>
      <c r="F80" s="18">
        <f t="shared" si="6"/>
        <v>143.1826714588035</v>
      </c>
      <c r="G80" s="18">
        <f t="shared" si="6"/>
        <v>0</v>
      </c>
      <c r="H80" s="8"/>
      <c r="J80" s="8"/>
      <c r="K80" s="24">
        <f t="shared" si="4"/>
        <v>1421.3153608015368</v>
      </c>
      <c r="M80" s="24">
        <f t="shared" si="5"/>
        <v>0</v>
      </c>
    </row>
    <row r="81" spans="1:13">
      <c r="A81" s="4">
        <v>40299</v>
      </c>
      <c r="B81" s="18">
        <f t="shared" si="2"/>
        <v>1169.0249999999999</v>
      </c>
      <c r="C81" s="18">
        <f t="shared" si="3"/>
        <v>109.10768934273354</v>
      </c>
      <c r="D81" s="18">
        <f t="shared" si="6"/>
        <v>0</v>
      </c>
      <c r="E81" s="18">
        <f t="shared" si="6"/>
        <v>0</v>
      </c>
      <c r="F81" s="18">
        <f t="shared" si="6"/>
        <v>143.1826714588035</v>
      </c>
      <c r="G81" s="18">
        <f t="shared" si="6"/>
        <v>0</v>
      </c>
      <c r="H81" s="8"/>
      <c r="J81" s="8"/>
      <c r="K81" s="24">
        <f t="shared" si="4"/>
        <v>1421.3153608015368</v>
      </c>
      <c r="M81" s="24">
        <f t="shared" si="5"/>
        <v>0</v>
      </c>
    </row>
    <row r="82" spans="1:13">
      <c r="A82" s="4">
        <v>40330</v>
      </c>
      <c r="B82" s="18">
        <f t="shared" si="2"/>
        <v>1169.0249999999999</v>
      </c>
      <c r="C82" s="18">
        <f t="shared" si="3"/>
        <v>109.10768934273354</v>
      </c>
      <c r="D82" s="18">
        <f t="shared" si="6"/>
        <v>0</v>
      </c>
      <c r="E82" s="18">
        <f t="shared" si="6"/>
        <v>0</v>
      </c>
      <c r="F82" s="18">
        <f t="shared" si="6"/>
        <v>0</v>
      </c>
      <c r="G82" s="18">
        <f t="shared" si="6"/>
        <v>71.591335729401749</v>
      </c>
      <c r="H82" s="8"/>
      <c r="J82" s="8"/>
      <c r="K82" s="24">
        <f t="shared" si="4"/>
        <v>1349.7240250721352</v>
      </c>
      <c r="M82" s="24">
        <f t="shared" si="5"/>
        <v>0</v>
      </c>
    </row>
    <row r="83" spans="1:13">
      <c r="A83" s="4">
        <v>40360</v>
      </c>
      <c r="B83" s="18">
        <f t="shared" si="2"/>
        <v>1169.0249999999999</v>
      </c>
      <c r="C83" s="18">
        <f t="shared" si="3"/>
        <v>0</v>
      </c>
      <c r="D83" s="18">
        <f t="shared" si="6"/>
        <v>53.947123082033862</v>
      </c>
      <c r="E83" s="18">
        <f t="shared" si="6"/>
        <v>0</v>
      </c>
      <c r="F83" s="18">
        <f t="shared" si="6"/>
        <v>0</v>
      </c>
      <c r="G83" s="18">
        <f t="shared" si="6"/>
        <v>71.591335729401749</v>
      </c>
      <c r="H83" s="8"/>
      <c r="J83" s="8"/>
      <c r="K83" s="24">
        <f t="shared" si="4"/>
        <v>1294.5634588114353</v>
      </c>
      <c r="M83" s="24">
        <f t="shared" si="5"/>
        <v>0</v>
      </c>
    </row>
    <row r="84" spans="1:13">
      <c r="A84" s="4">
        <v>40391</v>
      </c>
      <c r="B84" s="18">
        <f t="shared" si="2"/>
        <v>1169.0249999999999</v>
      </c>
      <c r="C84" s="18">
        <f t="shared" si="3"/>
        <v>0</v>
      </c>
      <c r="D84" s="18">
        <f t="shared" si="6"/>
        <v>53.947123082033862</v>
      </c>
      <c r="E84" s="18">
        <f t="shared" si="6"/>
        <v>0</v>
      </c>
      <c r="F84" s="18">
        <f t="shared" si="6"/>
        <v>0</v>
      </c>
      <c r="G84" s="18">
        <f t="shared" si="6"/>
        <v>71.591335729401749</v>
      </c>
      <c r="H84" s="8"/>
      <c r="J84" s="8"/>
      <c r="K84" s="24">
        <f t="shared" si="4"/>
        <v>1294.5634588114353</v>
      </c>
      <c r="M84" s="24">
        <f t="shared" si="5"/>
        <v>0</v>
      </c>
    </row>
    <row r="85" spans="1:13">
      <c r="A85" s="4">
        <v>40422</v>
      </c>
      <c r="B85" s="18">
        <f t="shared" si="2"/>
        <v>1169.0249999999999</v>
      </c>
      <c r="C85" s="18">
        <f t="shared" si="3"/>
        <v>0</v>
      </c>
      <c r="D85" s="18">
        <f t="shared" si="6"/>
        <v>53.947123082033862</v>
      </c>
      <c r="E85" s="18">
        <f t="shared" si="6"/>
        <v>0</v>
      </c>
      <c r="F85" s="18">
        <f t="shared" si="6"/>
        <v>0</v>
      </c>
      <c r="G85" s="18">
        <f t="shared" si="6"/>
        <v>71.591335729401749</v>
      </c>
      <c r="H85" s="8"/>
      <c r="J85" s="8"/>
      <c r="K85" s="24">
        <f t="shared" si="4"/>
        <v>1294.5634588114353</v>
      </c>
      <c r="M85" s="24">
        <f t="shared" si="5"/>
        <v>0</v>
      </c>
    </row>
    <row r="86" spans="1:13">
      <c r="A86" s="4">
        <v>40452</v>
      </c>
      <c r="B86" s="18">
        <f t="shared" si="2"/>
        <v>1169.0249999999999</v>
      </c>
      <c r="C86" s="18">
        <f t="shared" si="3"/>
        <v>0</v>
      </c>
      <c r="D86" s="18">
        <f t="shared" si="6"/>
        <v>53.947123082033862</v>
      </c>
      <c r="E86" s="18">
        <f t="shared" si="6"/>
        <v>0</v>
      </c>
      <c r="F86" s="18">
        <f t="shared" si="6"/>
        <v>0</v>
      </c>
      <c r="G86" s="18">
        <f t="shared" si="6"/>
        <v>71.591335729401749</v>
      </c>
      <c r="H86" s="8"/>
      <c r="J86" s="8"/>
      <c r="K86" s="24">
        <f t="shared" si="4"/>
        <v>1294.5634588114353</v>
      </c>
      <c r="M86" s="24">
        <f t="shared" si="5"/>
        <v>0</v>
      </c>
    </row>
    <row r="87" spans="1:13">
      <c r="A87" s="4">
        <v>40483</v>
      </c>
      <c r="B87" s="18">
        <f t="shared" si="2"/>
        <v>1169.0249999999999</v>
      </c>
      <c r="C87" s="18">
        <f t="shared" si="3"/>
        <v>0</v>
      </c>
      <c r="D87" s="18">
        <f t="shared" si="6"/>
        <v>53.947123082033862</v>
      </c>
      <c r="E87" s="18">
        <f t="shared" si="6"/>
        <v>0</v>
      </c>
      <c r="F87" s="18">
        <f t="shared" si="6"/>
        <v>0</v>
      </c>
      <c r="G87" s="18">
        <f t="shared" si="6"/>
        <v>71.591335729401749</v>
      </c>
      <c r="H87" s="8"/>
      <c r="J87" s="8"/>
      <c r="K87" s="24">
        <f t="shared" si="4"/>
        <v>1294.5634588114353</v>
      </c>
      <c r="M87" s="24">
        <f t="shared" si="5"/>
        <v>0</v>
      </c>
    </row>
    <row r="88" spans="1:13">
      <c r="A88" s="4">
        <v>40513</v>
      </c>
      <c r="B88" s="18">
        <f t="shared" si="2"/>
        <v>1169.0249999999999</v>
      </c>
      <c r="C88" s="18">
        <f t="shared" si="3"/>
        <v>0</v>
      </c>
      <c r="D88" s="18">
        <f t="shared" si="6"/>
        <v>53.947123082033862</v>
      </c>
      <c r="E88" s="18">
        <f t="shared" si="6"/>
        <v>0</v>
      </c>
      <c r="F88" s="18">
        <f t="shared" si="6"/>
        <v>0</v>
      </c>
      <c r="G88" s="18">
        <f t="shared" si="6"/>
        <v>0</v>
      </c>
      <c r="H88" s="8"/>
      <c r="J88" s="8"/>
      <c r="K88" s="24">
        <f t="shared" si="4"/>
        <v>1222.9721230820337</v>
      </c>
      <c r="M88" s="24">
        <f t="shared" si="5"/>
        <v>0</v>
      </c>
    </row>
    <row r="89" spans="1:13">
      <c r="A89" s="4">
        <v>40544</v>
      </c>
      <c r="B89" s="18">
        <f t="shared" si="2"/>
        <v>1169.0249999999999</v>
      </c>
      <c r="C89" s="18">
        <f t="shared" si="3"/>
        <v>0</v>
      </c>
      <c r="D89" s="18">
        <f t="shared" si="6"/>
        <v>0</v>
      </c>
      <c r="E89" s="18">
        <f t="shared" si="6"/>
        <v>0</v>
      </c>
      <c r="F89" s="18">
        <f t="shared" si="6"/>
        <v>0</v>
      </c>
      <c r="G89" s="18">
        <f t="shared" si="6"/>
        <v>0</v>
      </c>
      <c r="H89" s="8"/>
      <c r="J89" s="8"/>
      <c r="K89" s="24">
        <f t="shared" si="4"/>
        <v>1169.0249999999999</v>
      </c>
      <c r="M89" s="24">
        <f t="shared" si="5"/>
        <v>0</v>
      </c>
    </row>
    <row r="90" spans="1:13">
      <c r="A90" s="4">
        <v>40575</v>
      </c>
      <c r="B90" s="18">
        <f t="shared" si="2"/>
        <v>1169.0249999999999</v>
      </c>
      <c r="C90" s="18">
        <f t="shared" si="3"/>
        <v>0</v>
      </c>
      <c r="D90" s="18">
        <f t="shared" si="6"/>
        <v>0</v>
      </c>
      <c r="E90" s="18">
        <f t="shared" si="6"/>
        <v>0</v>
      </c>
      <c r="F90" s="18">
        <f t="shared" si="6"/>
        <v>0</v>
      </c>
      <c r="G90" s="18">
        <f t="shared" si="6"/>
        <v>0</v>
      </c>
      <c r="H90" s="8"/>
      <c r="J90" s="8"/>
      <c r="K90" s="24">
        <f t="shared" si="4"/>
        <v>1169.0249999999999</v>
      </c>
      <c r="M90" s="24">
        <f t="shared" si="5"/>
        <v>0</v>
      </c>
    </row>
    <row r="91" spans="1:13">
      <c r="A91" s="4">
        <v>40603</v>
      </c>
      <c r="B91" s="18">
        <f t="shared" si="2"/>
        <v>1169.0249999999999</v>
      </c>
      <c r="C91" s="18">
        <f t="shared" si="3"/>
        <v>0</v>
      </c>
      <c r="D91" s="18">
        <f t="shared" si="6"/>
        <v>0</v>
      </c>
      <c r="E91" s="18">
        <f t="shared" si="6"/>
        <v>0</v>
      </c>
      <c r="F91" s="18">
        <f t="shared" si="6"/>
        <v>0</v>
      </c>
      <c r="G91" s="18">
        <f t="shared" si="6"/>
        <v>0</v>
      </c>
      <c r="H91" s="8"/>
      <c r="J91" s="8"/>
      <c r="K91" s="24">
        <f t="shared" si="4"/>
        <v>1169.0249999999999</v>
      </c>
      <c r="M91" s="24">
        <f t="shared" si="5"/>
        <v>0</v>
      </c>
    </row>
    <row r="92" spans="1:13">
      <c r="A92" s="4">
        <v>40634</v>
      </c>
      <c r="B92" s="18">
        <f t="shared" si="2"/>
        <v>1169.0249999999999</v>
      </c>
      <c r="C92" s="18">
        <f t="shared" si="3"/>
        <v>0</v>
      </c>
      <c r="D92" s="18">
        <f t="shared" si="6"/>
        <v>0</v>
      </c>
      <c r="E92" s="18">
        <f t="shared" si="6"/>
        <v>0</v>
      </c>
      <c r="F92" s="18">
        <f t="shared" si="6"/>
        <v>0</v>
      </c>
      <c r="G92" s="18">
        <f t="shared" si="6"/>
        <v>0</v>
      </c>
      <c r="H92" s="8"/>
      <c r="J92" s="8"/>
      <c r="K92" s="24">
        <f t="shared" si="4"/>
        <v>1169.0249999999999</v>
      </c>
      <c r="M92" s="24">
        <f t="shared" si="5"/>
        <v>0</v>
      </c>
    </row>
    <row r="93" spans="1:13">
      <c r="A93" s="4">
        <v>40664</v>
      </c>
      <c r="B93" s="18">
        <f t="shared" si="2"/>
        <v>1169.0249999999999</v>
      </c>
      <c r="C93" s="18">
        <f t="shared" si="3"/>
        <v>0</v>
      </c>
      <c r="D93" s="18">
        <f t="shared" ref="D93:G93" si="7">IF($A93&gt;=D$19,IF($A93&lt;=D$21,D$25,0),0)</f>
        <v>0</v>
      </c>
      <c r="E93" s="18">
        <f t="shared" si="7"/>
        <v>0</v>
      </c>
      <c r="F93" s="18">
        <f t="shared" si="7"/>
        <v>0</v>
      </c>
      <c r="G93" s="18">
        <f t="shared" si="7"/>
        <v>0</v>
      </c>
      <c r="H93" s="8"/>
      <c r="J93" s="8"/>
      <c r="K93" s="24">
        <f t="shared" si="4"/>
        <v>1169.0249999999999</v>
      </c>
      <c r="M93" s="24">
        <f t="shared" si="5"/>
        <v>0</v>
      </c>
    </row>
    <row r="94" spans="1:13">
      <c r="A94" s="4">
        <v>40695</v>
      </c>
      <c r="B94" s="18">
        <f t="shared" ref="B94:G136" si="8">IF($A94&gt;=B$19,IF($A94&lt;=B$21,B$25,0),0)</f>
        <v>1169.0249999999999</v>
      </c>
      <c r="C94" s="18">
        <f t="shared" si="8"/>
        <v>0</v>
      </c>
      <c r="D94" s="18">
        <f t="shared" si="8"/>
        <v>0</v>
      </c>
      <c r="E94" s="18">
        <f t="shared" si="8"/>
        <v>0</v>
      </c>
      <c r="F94" s="18">
        <f t="shared" si="8"/>
        <v>0</v>
      </c>
      <c r="G94" s="18">
        <f t="shared" si="8"/>
        <v>0</v>
      </c>
      <c r="H94" s="8"/>
      <c r="J94" s="8"/>
      <c r="K94" s="24">
        <f t="shared" ref="K94:K136" si="9">SUM(B94:G94)</f>
        <v>1169.0249999999999</v>
      </c>
      <c r="M94" s="24">
        <f t="shared" ref="M94:M136" si="10">-$B$15*$B$16*B94</f>
        <v>0</v>
      </c>
    </row>
    <row r="95" spans="1:13">
      <c r="A95" s="4">
        <v>40725</v>
      </c>
      <c r="B95" s="18">
        <f t="shared" si="8"/>
        <v>1169.0249999999999</v>
      </c>
      <c r="C95" s="18">
        <f t="shared" si="8"/>
        <v>0</v>
      </c>
      <c r="D95" s="18">
        <f t="shared" si="8"/>
        <v>0</v>
      </c>
      <c r="E95" s="18">
        <f t="shared" si="8"/>
        <v>0</v>
      </c>
      <c r="F95" s="18">
        <f t="shared" si="8"/>
        <v>0</v>
      </c>
      <c r="G95" s="18">
        <f t="shared" si="8"/>
        <v>0</v>
      </c>
      <c r="H95" s="8"/>
      <c r="J95" s="8"/>
      <c r="K95" s="24">
        <f t="shared" si="9"/>
        <v>1169.0249999999999</v>
      </c>
      <c r="M95" s="24">
        <f t="shared" si="10"/>
        <v>0</v>
      </c>
    </row>
    <row r="96" spans="1:13">
      <c r="A96" s="4">
        <v>40756</v>
      </c>
      <c r="B96" s="18">
        <f t="shared" si="8"/>
        <v>1169.0249999999999</v>
      </c>
      <c r="C96" s="18">
        <f t="shared" si="8"/>
        <v>0</v>
      </c>
      <c r="D96" s="18">
        <f t="shared" si="8"/>
        <v>0</v>
      </c>
      <c r="E96" s="18">
        <f t="shared" si="8"/>
        <v>0</v>
      </c>
      <c r="F96" s="18">
        <f t="shared" si="8"/>
        <v>0</v>
      </c>
      <c r="G96" s="18">
        <f t="shared" si="8"/>
        <v>0</v>
      </c>
      <c r="H96" s="8"/>
      <c r="J96" s="8"/>
      <c r="K96" s="24">
        <f t="shared" si="9"/>
        <v>1169.0249999999999</v>
      </c>
      <c r="M96" s="24">
        <f t="shared" si="10"/>
        <v>0</v>
      </c>
    </row>
    <row r="97" spans="1:13">
      <c r="A97" s="4">
        <v>40787</v>
      </c>
      <c r="B97" s="18">
        <f t="shared" si="8"/>
        <v>1169.0249999999999</v>
      </c>
      <c r="C97" s="18">
        <f t="shared" si="8"/>
        <v>0</v>
      </c>
      <c r="D97" s="18">
        <f t="shared" si="8"/>
        <v>0</v>
      </c>
      <c r="E97" s="18">
        <f t="shared" si="8"/>
        <v>0</v>
      </c>
      <c r="F97" s="18">
        <f t="shared" si="8"/>
        <v>0</v>
      </c>
      <c r="G97" s="18">
        <f t="shared" si="8"/>
        <v>0</v>
      </c>
      <c r="H97" s="8"/>
      <c r="J97" s="8"/>
      <c r="K97" s="24">
        <f t="shared" si="9"/>
        <v>1169.0249999999999</v>
      </c>
      <c r="M97" s="24">
        <f t="shared" si="10"/>
        <v>0</v>
      </c>
    </row>
    <row r="98" spans="1:13">
      <c r="A98" s="4">
        <v>40817</v>
      </c>
      <c r="B98" s="18">
        <f t="shared" si="8"/>
        <v>1169.0249999999999</v>
      </c>
      <c r="C98" s="18">
        <f t="shared" si="8"/>
        <v>0</v>
      </c>
      <c r="D98" s="18">
        <f t="shared" si="8"/>
        <v>0</v>
      </c>
      <c r="E98" s="18">
        <f t="shared" si="8"/>
        <v>0</v>
      </c>
      <c r="F98" s="18">
        <f t="shared" si="8"/>
        <v>0</v>
      </c>
      <c r="G98" s="18">
        <f t="shared" si="8"/>
        <v>0</v>
      </c>
      <c r="H98" s="8"/>
      <c r="J98" s="8"/>
      <c r="K98" s="24">
        <f t="shared" si="9"/>
        <v>1169.0249999999999</v>
      </c>
      <c r="M98" s="24">
        <f t="shared" si="10"/>
        <v>0</v>
      </c>
    </row>
    <row r="99" spans="1:13">
      <c r="A99" s="4">
        <v>40848</v>
      </c>
      <c r="B99" s="18">
        <f t="shared" si="8"/>
        <v>1169.0249999999999</v>
      </c>
      <c r="C99" s="18">
        <f t="shared" si="8"/>
        <v>0</v>
      </c>
      <c r="D99" s="18">
        <f t="shared" si="8"/>
        <v>0</v>
      </c>
      <c r="E99" s="18">
        <f t="shared" si="8"/>
        <v>0</v>
      </c>
      <c r="F99" s="18">
        <f t="shared" si="8"/>
        <v>0</v>
      </c>
      <c r="G99" s="18">
        <f t="shared" si="8"/>
        <v>0</v>
      </c>
      <c r="H99" s="8"/>
      <c r="J99" s="8"/>
      <c r="K99" s="24">
        <f t="shared" si="9"/>
        <v>1169.0249999999999</v>
      </c>
      <c r="M99" s="24">
        <f t="shared" si="10"/>
        <v>0</v>
      </c>
    </row>
    <row r="100" spans="1:13">
      <c r="A100" s="4">
        <v>40878</v>
      </c>
      <c r="B100" s="18">
        <f t="shared" si="8"/>
        <v>1169.0249999999999</v>
      </c>
      <c r="C100" s="18">
        <f t="shared" si="8"/>
        <v>0</v>
      </c>
      <c r="D100" s="18">
        <f t="shared" si="8"/>
        <v>0</v>
      </c>
      <c r="E100" s="18">
        <f t="shared" si="8"/>
        <v>0</v>
      </c>
      <c r="F100" s="18">
        <f t="shared" si="8"/>
        <v>0</v>
      </c>
      <c r="G100" s="18">
        <f t="shared" si="8"/>
        <v>0</v>
      </c>
      <c r="H100" s="8"/>
      <c r="J100" s="8"/>
      <c r="K100" s="24">
        <f t="shared" si="9"/>
        <v>1169.0249999999999</v>
      </c>
      <c r="M100" s="24">
        <f t="shared" si="10"/>
        <v>0</v>
      </c>
    </row>
    <row r="101" spans="1:13">
      <c r="A101" s="4">
        <v>40909</v>
      </c>
      <c r="B101" s="18">
        <f t="shared" si="8"/>
        <v>1169.0249999999999</v>
      </c>
      <c r="C101" s="18">
        <f t="shared" si="8"/>
        <v>0</v>
      </c>
      <c r="D101" s="18">
        <f t="shared" si="8"/>
        <v>0</v>
      </c>
      <c r="E101" s="18">
        <f t="shared" si="8"/>
        <v>0</v>
      </c>
      <c r="F101" s="18">
        <f t="shared" si="8"/>
        <v>0</v>
      </c>
      <c r="G101" s="18">
        <f t="shared" si="8"/>
        <v>0</v>
      </c>
      <c r="H101" s="8"/>
      <c r="J101" s="8"/>
      <c r="K101" s="24">
        <f t="shared" si="9"/>
        <v>1169.0249999999999</v>
      </c>
      <c r="M101" s="24">
        <f t="shared" si="10"/>
        <v>0</v>
      </c>
    </row>
    <row r="102" spans="1:13">
      <c r="A102" s="4">
        <v>40940</v>
      </c>
      <c r="B102" s="18">
        <f t="shared" si="8"/>
        <v>1169.0249999999999</v>
      </c>
      <c r="C102" s="18">
        <f t="shared" si="8"/>
        <v>0</v>
      </c>
      <c r="D102" s="18">
        <f t="shared" si="8"/>
        <v>0</v>
      </c>
      <c r="E102" s="18">
        <f t="shared" si="8"/>
        <v>0</v>
      </c>
      <c r="F102" s="18">
        <f t="shared" si="8"/>
        <v>0</v>
      </c>
      <c r="G102" s="18">
        <f t="shared" si="8"/>
        <v>0</v>
      </c>
      <c r="H102" s="8"/>
      <c r="J102" s="8"/>
      <c r="K102" s="24">
        <f t="shared" si="9"/>
        <v>1169.0249999999999</v>
      </c>
      <c r="M102" s="24">
        <f t="shared" si="10"/>
        <v>0</v>
      </c>
    </row>
    <row r="103" spans="1:13">
      <c r="A103" s="4">
        <v>40969</v>
      </c>
      <c r="B103" s="18">
        <f t="shared" si="8"/>
        <v>1169.0249999999999</v>
      </c>
      <c r="C103" s="18">
        <f t="shared" si="8"/>
        <v>0</v>
      </c>
      <c r="D103" s="18">
        <f t="shared" si="8"/>
        <v>0</v>
      </c>
      <c r="E103" s="18">
        <f t="shared" si="8"/>
        <v>0</v>
      </c>
      <c r="F103" s="18">
        <f t="shared" si="8"/>
        <v>0</v>
      </c>
      <c r="G103" s="18">
        <f t="shared" si="8"/>
        <v>0</v>
      </c>
      <c r="H103" s="8"/>
      <c r="J103" s="8"/>
      <c r="K103" s="24">
        <f t="shared" si="9"/>
        <v>1169.0249999999999</v>
      </c>
      <c r="M103" s="24">
        <f t="shared" si="10"/>
        <v>0</v>
      </c>
    </row>
    <row r="104" spans="1:13">
      <c r="A104" s="4">
        <v>41000</v>
      </c>
      <c r="B104" s="18">
        <f t="shared" si="8"/>
        <v>1169.0249999999999</v>
      </c>
      <c r="C104" s="18">
        <f t="shared" si="8"/>
        <v>0</v>
      </c>
      <c r="D104" s="18">
        <f t="shared" si="8"/>
        <v>0</v>
      </c>
      <c r="E104" s="18">
        <f t="shared" si="8"/>
        <v>0</v>
      </c>
      <c r="F104" s="18">
        <f t="shared" si="8"/>
        <v>0</v>
      </c>
      <c r="G104" s="18">
        <f t="shared" si="8"/>
        <v>0</v>
      </c>
      <c r="H104" s="8"/>
      <c r="J104" s="8"/>
      <c r="K104" s="24">
        <f t="shared" si="9"/>
        <v>1169.0249999999999</v>
      </c>
      <c r="M104" s="24">
        <f t="shared" si="10"/>
        <v>0</v>
      </c>
    </row>
    <row r="105" spans="1:13">
      <c r="A105" s="4">
        <v>41030</v>
      </c>
      <c r="B105" s="18">
        <f t="shared" si="8"/>
        <v>1169.0249999999999</v>
      </c>
      <c r="C105" s="18">
        <f t="shared" si="8"/>
        <v>0</v>
      </c>
      <c r="D105" s="18">
        <f t="shared" si="8"/>
        <v>0</v>
      </c>
      <c r="E105" s="18">
        <f t="shared" si="8"/>
        <v>0</v>
      </c>
      <c r="F105" s="18">
        <f t="shared" si="8"/>
        <v>0</v>
      </c>
      <c r="G105" s="18">
        <f t="shared" si="8"/>
        <v>0</v>
      </c>
      <c r="H105" s="8"/>
      <c r="J105" s="8"/>
      <c r="K105" s="24">
        <f t="shared" si="9"/>
        <v>1169.0249999999999</v>
      </c>
      <c r="M105" s="24">
        <f t="shared" si="10"/>
        <v>0</v>
      </c>
    </row>
    <row r="106" spans="1:13">
      <c r="A106" s="4">
        <v>41061</v>
      </c>
      <c r="B106" s="18">
        <f t="shared" si="8"/>
        <v>1169.0249999999999</v>
      </c>
      <c r="C106" s="18">
        <f t="shared" si="8"/>
        <v>0</v>
      </c>
      <c r="D106" s="18">
        <f t="shared" si="8"/>
        <v>0</v>
      </c>
      <c r="E106" s="18">
        <f t="shared" si="8"/>
        <v>0</v>
      </c>
      <c r="F106" s="18">
        <f t="shared" si="8"/>
        <v>0</v>
      </c>
      <c r="G106" s="18">
        <f t="shared" si="8"/>
        <v>0</v>
      </c>
      <c r="H106" s="8"/>
      <c r="J106" s="8"/>
      <c r="K106" s="24">
        <f t="shared" si="9"/>
        <v>1169.0249999999999</v>
      </c>
      <c r="M106" s="24">
        <f t="shared" si="10"/>
        <v>0</v>
      </c>
    </row>
    <row r="107" spans="1:13">
      <c r="A107" s="4">
        <v>41091</v>
      </c>
      <c r="B107" s="18">
        <f t="shared" si="8"/>
        <v>1169.0249999999999</v>
      </c>
      <c r="C107" s="18">
        <f t="shared" si="8"/>
        <v>0</v>
      </c>
      <c r="D107" s="18">
        <f t="shared" si="8"/>
        <v>0</v>
      </c>
      <c r="E107" s="18">
        <f t="shared" si="8"/>
        <v>0</v>
      </c>
      <c r="F107" s="18">
        <f t="shared" si="8"/>
        <v>0</v>
      </c>
      <c r="G107" s="18">
        <f t="shared" si="8"/>
        <v>0</v>
      </c>
      <c r="H107" s="8"/>
      <c r="J107" s="8"/>
      <c r="K107" s="24">
        <f t="shared" si="9"/>
        <v>1169.0249999999999</v>
      </c>
      <c r="M107" s="24">
        <f t="shared" si="10"/>
        <v>0</v>
      </c>
    </row>
    <row r="108" spans="1:13">
      <c r="A108" s="4">
        <v>41122</v>
      </c>
      <c r="B108" s="18">
        <f t="shared" si="8"/>
        <v>1169.0249999999999</v>
      </c>
      <c r="C108" s="18">
        <f t="shared" si="8"/>
        <v>0</v>
      </c>
      <c r="D108" s="18">
        <f t="shared" si="8"/>
        <v>0</v>
      </c>
      <c r="E108" s="18">
        <f t="shared" si="8"/>
        <v>0</v>
      </c>
      <c r="F108" s="18">
        <f t="shared" si="8"/>
        <v>0</v>
      </c>
      <c r="G108" s="18">
        <f t="shared" si="8"/>
        <v>0</v>
      </c>
      <c r="H108" s="8"/>
      <c r="J108" s="8"/>
      <c r="K108" s="24">
        <f t="shared" si="9"/>
        <v>1169.0249999999999</v>
      </c>
      <c r="M108" s="24">
        <f t="shared" si="10"/>
        <v>0</v>
      </c>
    </row>
    <row r="109" spans="1:13">
      <c r="A109" s="4">
        <v>41153</v>
      </c>
      <c r="B109" s="18">
        <f t="shared" si="8"/>
        <v>1169.0249999999999</v>
      </c>
      <c r="C109" s="18">
        <f t="shared" si="8"/>
        <v>0</v>
      </c>
      <c r="D109" s="18">
        <f t="shared" si="8"/>
        <v>0</v>
      </c>
      <c r="E109" s="18">
        <f t="shared" si="8"/>
        <v>0</v>
      </c>
      <c r="F109" s="18">
        <f t="shared" si="8"/>
        <v>0</v>
      </c>
      <c r="G109" s="18">
        <f t="shared" si="8"/>
        <v>0</v>
      </c>
      <c r="H109" s="8"/>
      <c r="J109" s="8"/>
      <c r="K109" s="24">
        <f t="shared" si="9"/>
        <v>1169.0249999999999</v>
      </c>
      <c r="M109" s="24">
        <f t="shared" si="10"/>
        <v>0</v>
      </c>
    </row>
    <row r="110" spans="1:13">
      <c r="A110" s="4">
        <v>41183</v>
      </c>
      <c r="B110" s="18">
        <f t="shared" si="8"/>
        <v>1169.0249999999999</v>
      </c>
      <c r="C110" s="18">
        <f t="shared" si="8"/>
        <v>0</v>
      </c>
      <c r="D110" s="18">
        <f t="shared" si="8"/>
        <v>0</v>
      </c>
      <c r="E110" s="18">
        <f t="shared" si="8"/>
        <v>0</v>
      </c>
      <c r="F110" s="18">
        <f t="shared" si="8"/>
        <v>0</v>
      </c>
      <c r="G110" s="18">
        <f t="shared" si="8"/>
        <v>0</v>
      </c>
      <c r="H110" s="8"/>
      <c r="J110" s="8"/>
      <c r="K110" s="24">
        <f t="shared" si="9"/>
        <v>1169.0249999999999</v>
      </c>
      <c r="M110" s="24">
        <f t="shared" si="10"/>
        <v>0</v>
      </c>
    </row>
    <row r="111" spans="1:13">
      <c r="A111" s="4">
        <v>41214</v>
      </c>
      <c r="B111" s="18">
        <f t="shared" si="8"/>
        <v>1169.0249999999999</v>
      </c>
      <c r="C111" s="18">
        <f t="shared" si="8"/>
        <v>0</v>
      </c>
      <c r="D111" s="18">
        <f t="shared" si="8"/>
        <v>0</v>
      </c>
      <c r="E111" s="18">
        <f t="shared" si="8"/>
        <v>0</v>
      </c>
      <c r="F111" s="18">
        <f t="shared" si="8"/>
        <v>0</v>
      </c>
      <c r="G111" s="18">
        <f t="shared" si="8"/>
        <v>0</v>
      </c>
      <c r="H111" s="8"/>
      <c r="J111" s="8"/>
      <c r="K111" s="24">
        <f t="shared" si="9"/>
        <v>1169.0249999999999</v>
      </c>
      <c r="M111" s="24">
        <f t="shared" si="10"/>
        <v>0</v>
      </c>
    </row>
    <row r="112" spans="1:13">
      <c r="A112" s="4">
        <v>41244</v>
      </c>
      <c r="B112" s="18">
        <f t="shared" si="8"/>
        <v>1169.0249999999999</v>
      </c>
      <c r="C112" s="18">
        <f t="shared" si="8"/>
        <v>0</v>
      </c>
      <c r="D112" s="18">
        <f t="shared" si="8"/>
        <v>0</v>
      </c>
      <c r="E112" s="18">
        <f t="shared" si="8"/>
        <v>0</v>
      </c>
      <c r="F112" s="18">
        <f t="shared" si="8"/>
        <v>0</v>
      </c>
      <c r="G112" s="18">
        <f t="shared" si="8"/>
        <v>0</v>
      </c>
      <c r="H112" s="8"/>
      <c r="J112" s="8"/>
      <c r="K112" s="24">
        <f t="shared" si="9"/>
        <v>1169.0249999999999</v>
      </c>
      <c r="M112" s="24">
        <f t="shared" si="10"/>
        <v>0</v>
      </c>
    </row>
    <row r="113" spans="1:13">
      <c r="A113" s="4">
        <v>41275</v>
      </c>
      <c r="B113" s="18">
        <f t="shared" si="8"/>
        <v>1169.0249999999999</v>
      </c>
      <c r="C113" s="18">
        <f t="shared" si="8"/>
        <v>0</v>
      </c>
      <c r="D113" s="18">
        <f t="shared" si="8"/>
        <v>0</v>
      </c>
      <c r="E113" s="18">
        <f t="shared" si="8"/>
        <v>0</v>
      </c>
      <c r="F113" s="18">
        <f t="shared" si="8"/>
        <v>0</v>
      </c>
      <c r="G113" s="18">
        <f t="shared" si="8"/>
        <v>0</v>
      </c>
      <c r="H113" s="8"/>
      <c r="J113" s="8"/>
      <c r="K113" s="24">
        <f t="shared" si="9"/>
        <v>1169.0249999999999</v>
      </c>
      <c r="M113" s="24">
        <f t="shared" si="10"/>
        <v>0</v>
      </c>
    </row>
    <row r="114" spans="1:13">
      <c r="A114" s="4">
        <v>41306</v>
      </c>
      <c r="B114" s="18">
        <f t="shared" si="8"/>
        <v>1169.0249999999999</v>
      </c>
      <c r="C114" s="18">
        <f t="shared" si="8"/>
        <v>0</v>
      </c>
      <c r="D114" s="18">
        <f t="shared" si="8"/>
        <v>0</v>
      </c>
      <c r="E114" s="18">
        <f t="shared" si="8"/>
        <v>0</v>
      </c>
      <c r="F114" s="18">
        <f t="shared" si="8"/>
        <v>0</v>
      </c>
      <c r="G114" s="18">
        <f t="shared" si="8"/>
        <v>0</v>
      </c>
      <c r="H114" s="8"/>
      <c r="J114" s="8"/>
      <c r="K114" s="24">
        <f t="shared" si="9"/>
        <v>1169.0249999999999</v>
      </c>
      <c r="M114" s="24">
        <f t="shared" si="10"/>
        <v>0</v>
      </c>
    </row>
    <row r="115" spans="1:13">
      <c r="A115" s="4">
        <v>41334</v>
      </c>
      <c r="B115" s="18">
        <f t="shared" si="8"/>
        <v>1169.0249999999999</v>
      </c>
      <c r="C115" s="18">
        <f t="shared" si="8"/>
        <v>0</v>
      </c>
      <c r="D115" s="18">
        <f t="shared" si="8"/>
        <v>0</v>
      </c>
      <c r="E115" s="18">
        <f t="shared" si="8"/>
        <v>0</v>
      </c>
      <c r="F115" s="18">
        <f t="shared" si="8"/>
        <v>0</v>
      </c>
      <c r="G115" s="18">
        <f t="shared" si="8"/>
        <v>0</v>
      </c>
      <c r="H115" s="8"/>
      <c r="J115" s="8"/>
      <c r="K115" s="24">
        <f t="shared" si="9"/>
        <v>1169.0249999999999</v>
      </c>
      <c r="M115" s="24">
        <f t="shared" si="10"/>
        <v>0</v>
      </c>
    </row>
    <row r="116" spans="1:13">
      <c r="A116" s="4">
        <v>41365</v>
      </c>
      <c r="B116" s="18">
        <f t="shared" si="8"/>
        <v>1169.0249999999999</v>
      </c>
      <c r="C116" s="18">
        <f t="shared" si="8"/>
        <v>0</v>
      </c>
      <c r="D116" s="18">
        <f t="shared" si="8"/>
        <v>0</v>
      </c>
      <c r="E116" s="18">
        <f t="shared" si="8"/>
        <v>0</v>
      </c>
      <c r="F116" s="18">
        <f t="shared" si="8"/>
        <v>0</v>
      </c>
      <c r="G116" s="18">
        <f t="shared" si="8"/>
        <v>0</v>
      </c>
      <c r="H116" s="8"/>
      <c r="J116" s="8"/>
      <c r="K116" s="24">
        <f t="shared" si="9"/>
        <v>1169.0249999999999</v>
      </c>
      <c r="M116" s="24">
        <f t="shared" si="10"/>
        <v>0</v>
      </c>
    </row>
    <row r="117" spans="1:13">
      <c r="A117" s="4">
        <v>41395</v>
      </c>
      <c r="B117" s="18">
        <f t="shared" si="8"/>
        <v>1169.0249999999999</v>
      </c>
      <c r="C117" s="18">
        <f t="shared" si="8"/>
        <v>0</v>
      </c>
      <c r="D117" s="18">
        <f t="shared" si="8"/>
        <v>0</v>
      </c>
      <c r="E117" s="18">
        <f t="shared" si="8"/>
        <v>0</v>
      </c>
      <c r="F117" s="18">
        <f t="shared" si="8"/>
        <v>0</v>
      </c>
      <c r="G117" s="18">
        <f t="shared" si="8"/>
        <v>0</v>
      </c>
      <c r="H117" s="8"/>
      <c r="J117" s="8"/>
      <c r="K117" s="24">
        <f t="shared" si="9"/>
        <v>1169.0249999999999</v>
      </c>
      <c r="M117" s="24">
        <f t="shared" si="10"/>
        <v>0</v>
      </c>
    </row>
    <row r="118" spans="1:13">
      <c r="A118" s="4">
        <v>41426</v>
      </c>
      <c r="B118" s="18">
        <f t="shared" si="8"/>
        <v>1169.0249999999999</v>
      </c>
      <c r="C118" s="18">
        <f t="shared" si="8"/>
        <v>0</v>
      </c>
      <c r="D118" s="18">
        <f t="shared" si="8"/>
        <v>0</v>
      </c>
      <c r="E118" s="18">
        <f t="shared" si="8"/>
        <v>0</v>
      </c>
      <c r="F118" s="18">
        <f t="shared" si="8"/>
        <v>0</v>
      </c>
      <c r="G118" s="18">
        <f t="shared" si="8"/>
        <v>0</v>
      </c>
      <c r="H118" s="8"/>
      <c r="J118" s="8"/>
      <c r="K118" s="24">
        <f t="shared" si="9"/>
        <v>1169.0249999999999</v>
      </c>
      <c r="M118" s="24">
        <f t="shared" si="10"/>
        <v>0</v>
      </c>
    </row>
    <row r="119" spans="1:13">
      <c r="A119" s="4">
        <v>41456</v>
      </c>
      <c r="B119" s="18">
        <f t="shared" si="8"/>
        <v>1169.0249999999999</v>
      </c>
      <c r="C119" s="18">
        <f t="shared" si="8"/>
        <v>0</v>
      </c>
      <c r="D119" s="18">
        <f t="shared" si="8"/>
        <v>0</v>
      </c>
      <c r="E119" s="18">
        <f t="shared" si="8"/>
        <v>0</v>
      </c>
      <c r="F119" s="18">
        <f t="shared" si="8"/>
        <v>0</v>
      </c>
      <c r="G119" s="18">
        <f t="shared" si="8"/>
        <v>0</v>
      </c>
      <c r="H119" s="8"/>
      <c r="J119" s="8"/>
      <c r="K119" s="24">
        <f t="shared" si="9"/>
        <v>1169.0249999999999</v>
      </c>
      <c r="M119" s="24">
        <f t="shared" si="10"/>
        <v>0</v>
      </c>
    </row>
    <row r="120" spans="1:13">
      <c r="A120" s="4">
        <v>41487</v>
      </c>
      <c r="B120" s="18">
        <f t="shared" si="8"/>
        <v>1169.0249999999999</v>
      </c>
      <c r="C120" s="18">
        <f t="shared" si="8"/>
        <v>0</v>
      </c>
      <c r="D120" s="18">
        <f t="shared" si="8"/>
        <v>0</v>
      </c>
      <c r="E120" s="18">
        <f t="shared" si="8"/>
        <v>0</v>
      </c>
      <c r="F120" s="18">
        <f t="shared" si="8"/>
        <v>0</v>
      </c>
      <c r="G120" s="18">
        <f t="shared" si="8"/>
        <v>0</v>
      </c>
      <c r="H120" s="8"/>
      <c r="J120" s="8"/>
      <c r="K120" s="24">
        <f t="shared" si="9"/>
        <v>1169.0249999999999</v>
      </c>
      <c r="M120" s="24">
        <f t="shared" si="10"/>
        <v>0</v>
      </c>
    </row>
    <row r="121" spans="1:13">
      <c r="A121" s="4">
        <v>41518</v>
      </c>
      <c r="B121" s="18">
        <f t="shared" si="8"/>
        <v>1169.0249999999999</v>
      </c>
      <c r="C121" s="18">
        <f t="shared" si="8"/>
        <v>0</v>
      </c>
      <c r="D121" s="18">
        <f t="shared" si="8"/>
        <v>0</v>
      </c>
      <c r="E121" s="18">
        <f t="shared" si="8"/>
        <v>0</v>
      </c>
      <c r="F121" s="18">
        <f t="shared" si="8"/>
        <v>0</v>
      </c>
      <c r="G121" s="18">
        <f t="shared" si="8"/>
        <v>0</v>
      </c>
      <c r="H121" s="8"/>
      <c r="J121" s="8"/>
      <c r="K121" s="24">
        <f t="shared" si="9"/>
        <v>1169.0249999999999</v>
      </c>
      <c r="M121" s="24">
        <f t="shared" si="10"/>
        <v>0</v>
      </c>
    </row>
    <row r="122" spans="1:13">
      <c r="A122" s="4">
        <v>41548</v>
      </c>
      <c r="B122" s="18">
        <f t="shared" si="8"/>
        <v>1169.0249999999999</v>
      </c>
      <c r="C122" s="18">
        <f t="shared" si="8"/>
        <v>0</v>
      </c>
      <c r="D122" s="18">
        <f t="shared" si="8"/>
        <v>0</v>
      </c>
      <c r="E122" s="18">
        <f t="shared" si="8"/>
        <v>0</v>
      </c>
      <c r="F122" s="18">
        <f t="shared" si="8"/>
        <v>0</v>
      </c>
      <c r="G122" s="18">
        <f t="shared" si="8"/>
        <v>0</v>
      </c>
      <c r="H122" s="8"/>
      <c r="J122" s="8"/>
      <c r="K122" s="24">
        <f t="shared" si="9"/>
        <v>1169.0249999999999</v>
      </c>
      <c r="M122" s="24">
        <f t="shared" si="10"/>
        <v>0</v>
      </c>
    </row>
    <row r="123" spans="1:13">
      <c r="A123" s="4">
        <v>41579</v>
      </c>
      <c r="B123" s="18">
        <f t="shared" si="8"/>
        <v>1169.0249999999999</v>
      </c>
      <c r="C123" s="18">
        <f t="shared" si="8"/>
        <v>0</v>
      </c>
      <c r="D123" s="18">
        <f t="shared" si="8"/>
        <v>0</v>
      </c>
      <c r="E123" s="18">
        <f t="shared" si="8"/>
        <v>0</v>
      </c>
      <c r="F123" s="18">
        <f t="shared" si="8"/>
        <v>0</v>
      </c>
      <c r="G123" s="18">
        <f t="shared" si="8"/>
        <v>0</v>
      </c>
      <c r="H123" s="8"/>
      <c r="J123" s="8"/>
      <c r="K123" s="24">
        <f t="shared" si="9"/>
        <v>1169.0249999999999</v>
      </c>
      <c r="M123" s="24">
        <f t="shared" si="10"/>
        <v>0</v>
      </c>
    </row>
    <row r="124" spans="1:13">
      <c r="A124" s="4">
        <v>41609</v>
      </c>
      <c r="B124" s="18">
        <f t="shared" si="8"/>
        <v>1169.0249999999999</v>
      </c>
      <c r="C124" s="18">
        <f t="shared" si="8"/>
        <v>0</v>
      </c>
      <c r="D124" s="18">
        <f t="shared" si="8"/>
        <v>0</v>
      </c>
      <c r="E124" s="18">
        <f t="shared" si="8"/>
        <v>0</v>
      </c>
      <c r="F124" s="18">
        <f t="shared" si="8"/>
        <v>0</v>
      </c>
      <c r="G124" s="18">
        <f t="shared" si="8"/>
        <v>0</v>
      </c>
      <c r="H124" s="8"/>
      <c r="J124" s="8"/>
      <c r="K124" s="24">
        <f t="shared" si="9"/>
        <v>1169.0249999999999</v>
      </c>
      <c r="M124" s="24">
        <f t="shared" si="10"/>
        <v>0</v>
      </c>
    </row>
    <row r="125" spans="1:13">
      <c r="A125" s="4">
        <v>41640</v>
      </c>
      <c r="B125" s="18">
        <f t="shared" si="8"/>
        <v>1169.0249999999999</v>
      </c>
      <c r="C125" s="18">
        <f t="shared" si="8"/>
        <v>0</v>
      </c>
      <c r="D125" s="18">
        <f t="shared" si="8"/>
        <v>0</v>
      </c>
      <c r="E125" s="18">
        <f t="shared" si="8"/>
        <v>0</v>
      </c>
      <c r="F125" s="18">
        <f t="shared" si="8"/>
        <v>0</v>
      </c>
      <c r="G125" s="18">
        <f t="shared" si="8"/>
        <v>0</v>
      </c>
      <c r="H125" s="8"/>
      <c r="J125" s="8"/>
      <c r="K125" s="24">
        <f t="shared" si="9"/>
        <v>1169.0249999999999</v>
      </c>
      <c r="M125" s="24">
        <f t="shared" si="10"/>
        <v>0</v>
      </c>
    </row>
    <row r="126" spans="1:13">
      <c r="A126" s="4">
        <v>41671</v>
      </c>
      <c r="B126" s="18">
        <f t="shared" si="8"/>
        <v>1169.0249999999999</v>
      </c>
      <c r="C126" s="18">
        <f t="shared" si="8"/>
        <v>0</v>
      </c>
      <c r="D126" s="18">
        <f t="shared" si="8"/>
        <v>0</v>
      </c>
      <c r="E126" s="18">
        <f t="shared" si="8"/>
        <v>0</v>
      </c>
      <c r="F126" s="18">
        <f t="shared" si="8"/>
        <v>0</v>
      </c>
      <c r="G126" s="18">
        <f t="shared" si="8"/>
        <v>0</v>
      </c>
      <c r="H126" s="8"/>
      <c r="J126" s="8"/>
      <c r="K126" s="24">
        <f t="shared" si="9"/>
        <v>1169.0249999999999</v>
      </c>
      <c r="M126" s="24">
        <f t="shared" si="10"/>
        <v>0</v>
      </c>
    </row>
    <row r="127" spans="1:13">
      <c r="A127" s="4">
        <v>41699</v>
      </c>
      <c r="B127" s="18">
        <f t="shared" si="8"/>
        <v>1169.0249999999999</v>
      </c>
      <c r="C127" s="18">
        <f t="shared" si="8"/>
        <v>0</v>
      </c>
      <c r="D127" s="18">
        <f t="shared" si="8"/>
        <v>0</v>
      </c>
      <c r="E127" s="18">
        <f t="shared" si="8"/>
        <v>0</v>
      </c>
      <c r="F127" s="18">
        <f t="shared" si="8"/>
        <v>0</v>
      </c>
      <c r="G127" s="18">
        <f t="shared" si="8"/>
        <v>0</v>
      </c>
      <c r="H127" s="8"/>
      <c r="J127" s="8"/>
      <c r="K127" s="24">
        <f t="shared" si="9"/>
        <v>1169.0249999999999</v>
      </c>
      <c r="M127" s="24">
        <f t="shared" si="10"/>
        <v>0</v>
      </c>
    </row>
    <row r="128" spans="1:13">
      <c r="A128" s="4">
        <v>41730</v>
      </c>
      <c r="B128" s="18">
        <f t="shared" si="8"/>
        <v>1169.0249999999999</v>
      </c>
      <c r="C128" s="18">
        <f t="shared" si="8"/>
        <v>0</v>
      </c>
      <c r="D128" s="18">
        <f t="shared" si="8"/>
        <v>0</v>
      </c>
      <c r="E128" s="18">
        <f t="shared" si="8"/>
        <v>0</v>
      </c>
      <c r="F128" s="18">
        <f t="shared" si="8"/>
        <v>0</v>
      </c>
      <c r="G128" s="18">
        <f t="shared" si="8"/>
        <v>0</v>
      </c>
      <c r="H128" s="8"/>
      <c r="J128" s="8"/>
      <c r="K128" s="24">
        <f t="shared" si="9"/>
        <v>1169.0249999999999</v>
      </c>
      <c r="M128" s="24">
        <f t="shared" si="10"/>
        <v>0</v>
      </c>
    </row>
    <row r="129" spans="1:13">
      <c r="A129" s="4">
        <v>41760</v>
      </c>
      <c r="B129" s="18">
        <f t="shared" si="8"/>
        <v>1169.0249999999999</v>
      </c>
      <c r="C129" s="18">
        <f t="shared" si="8"/>
        <v>0</v>
      </c>
      <c r="D129" s="18">
        <f t="shared" si="8"/>
        <v>0</v>
      </c>
      <c r="E129" s="18">
        <f t="shared" si="8"/>
        <v>0</v>
      </c>
      <c r="F129" s="18">
        <f t="shared" si="8"/>
        <v>0</v>
      </c>
      <c r="G129" s="18">
        <f t="shared" si="8"/>
        <v>0</v>
      </c>
      <c r="H129" s="8"/>
      <c r="J129" s="8"/>
      <c r="K129" s="24">
        <f t="shared" si="9"/>
        <v>1169.0249999999999</v>
      </c>
      <c r="M129" s="24">
        <f t="shared" si="10"/>
        <v>0</v>
      </c>
    </row>
    <row r="130" spans="1:13">
      <c r="A130" s="4">
        <v>41791</v>
      </c>
      <c r="B130" s="18">
        <f t="shared" si="8"/>
        <v>1169.0249999999999</v>
      </c>
      <c r="C130" s="18">
        <f t="shared" si="8"/>
        <v>0</v>
      </c>
      <c r="D130" s="18">
        <f t="shared" si="8"/>
        <v>0</v>
      </c>
      <c r="E130" s="18">
        <f t="shared" si="8"/>
        <v>0</v>
      </c>
      <c r="F130" s="18">
        <f t="shared" si="8"/>
        <v>0</v>
      </c>
      <c r="G130" s="18">
        <f t="shared" si="8"/>
        <v>0</v>
      </c>
      <c r="H130" s="8"/>
      <c r="J130" s="8"/>
      <c r="K130" s="24">
        <f t="shared" si="9"/>
        <v>1169.0249999999999</v>
      </c>
      <c r="M130" s="24">
        <f t="shared" si="10"/>
        <v>0</v>
      </c>
    </row>
    <row r="131" spans="1:13">
      <c r="A131" s="4">
        <v>41821</v>
      </c>
      <c r="B131" s="18">
        <f t="shared" si="8"/>
        <v>1169.0249999999999</v>
      </c>
      <c r="C131" s="18">
        <f t="shared" si="8"/>
        <v>0</v>
      </c>
      <c r="D131" s="18">
        <f t="shared" si="8"/>
        <v>0</v>
      </c>
      <c r="E131" s="18">
        <f t="shared" si="8"/>
        <v>0</v>
      </c>
      <c r="F131" s="18">
        <f t="shared" si="8"/>
        <v>0</v>
      </c>
      <c r="G131" s="18">
        <f t="shared" si="8"/>
        <v>0</v>
      </c>
      <c r="H131" s="8"/>
      <c r="J131" s="8"/>
      <c r="K131" s="24">
        <f t="shared" si="9"/>
        <v>1169.0249999999999</v>
      </c>
      <c r="M131" s="24">
        <f t="shared" si="10"/>
        <v>0</v>
      </c>
    </row>
    <row r="132" spans="1:13">
      <c r="A132" s="4">
        <v>41852</v>
      </c>
      <c r="B132" s="18">
        <f t="shared" si="8"/>
        <v>1169.0249999999999</v>
      </c>
      <c r="C132" s="18">
        <f t="shared" si="8"/>
        <v>0</v>
      </c>
      <c r="D132" s="18">
        <f t="shared" si="8"/>
        <v>0</v>
      </c>
      <c r="E132" s="18">
        <f t="shared" si="8"/>
        <v>0</v>
      </c>
      <c r="F132" s="18">
        <f t="shared" si="8"/>
        <v>0</v>
      </c>
      <c r="G132" s="18">
        <f t="shared" si="8"/>
        <v>0</v>
      </c>
      <c r="H132" s="8"/>
      <c r="J132" s="8"/>
      <c r="K132" s="24">
        <f t="shared" si="9"/>
        <v>1169.0249999999999</v>
      </c>
      <c r="M132" s="24">
        <f t="shared" si="10"/>
        <v>0</v>
      </c>
    </row>
    <row r="133" spans="1:13">
      <c r="A133" s="4">
        <v>41883</v>
      </c>
      <c r="B133" s="18">
        <f t="shared" si="8"/>
        <v>1169.0249999999999</v>
      </c>
      <c r="C133" s="18">
        <f t="shared" si="8"/>
        <v>0</v>
      </c>
      <c r="D133" s="18">
        <f t="shared" si="8"/>
        <v>0</v>
      </c>
      <c r="E133" s="18">
        <f t="shared" si="8"/>
        <v>0</v>
      </c>
      <c r="F133" s="18">
        <f t="shared" si="8"/>
        <v>0</v>
      </c>
      <c r="G133" s="18">
        <f t="shared" si="8"/>
        <v>0</v>
      </c>
      <c r="H133" s="8"/>
      <c r="J133" s="8"/>
      <c r="K133" s="24">
        <f t="shared" si="9"/>
        <v>1169.0249999999999</v>
      </c>
      <c r="M133" s="24">
        <f t="shared" si="10"/>
        <v>0</v>
      </c>
    </row>
    <row r="134" spans="1:13">
      <c r="A134" s="4">
        <v>41913</v>
      </c>
      <c r="B134" s="18">
        <f t="shared" ref="B134:B136" si="11">IF($A134&gt;=B$19,IF($A134&lt;=B$21,B$25,0),0)</f>
        <v>1169.0249999999999</v>
      </c>
      <c r="C134" s="18">
        <f t="shared" si="8"/>
        <v>0</v>
      </c>
      <c r="D134" s="18">
        <f t="shared" si="8"/>
        <v>0</v>
      </c>
      <c r="E134" s="18">
        <f t="shared" si="8"/>
        <v>0</v>
      </c>
      <c r="F134" s="18">
        <f t="shared" si="8"/>
        <v>0</v>
      </c>
      <c r="G134" s="18">
        <f t="shared" si="8"/>
        <v>0</v>
      </c>
      <c r="H134" s="8"/>
      <c r="J134" s="8"/>
      <c r="K134" s="24">
        <f t="shared" si="9"/>
        <v>1169.0249999999999</v>
      </c>
      <c r="M134" s="24">
        <f t="shared" si="10"/>
        <v>0</v>
      </c>
    </row>
    <row r="135" spans="1:13">
      <c r="A135" s="4">
        <v>41944</v>
      </c>
      <c r="B135" s="18">
        <f t="shared" si="11"/>
        <v>1169.0249999999999</v>
      </c>
      <c r="C135" s="18">
        <f t="shared" si="8"/>
        <v>0</v>
      </c>
      <c r="D135" s="18">
        <f t="shared" si="8"/>
        <v>0</v>
      </c>
      <c r="E135" s="18">
        <f t="shared" si="8"/>
        <v>0</v>
      </c>
      <c r="F135" s="18">
        <f t="shared" si="8"/>
        <v>0</v>
      </c>
      <c r="G135" s="18">
        <f t="shared" si="8"/>
        <v>0</v>
      </c>
      <c r="H135" s="8"/>
      <c r="J135" s="8"/>
      <c r="K135" s="24">
        <f t="shared" si="9"/>
        <v>1169.0249999999999</v>
      </c>
      <c r="M135" s="24">
        <f t="shared" si="10"/>
        <v>0</v>
      </c>
    </row>
    <row r="136" spans="1:13">
      <c r="A136" s="4">
        <v>41974</v>
      </c>
      <c r="B136" s="18">
        <f t="shared" si="11"/>
        <v>1169.0249999999999</v>
      </c>
      <c r="C136" s="18">
        <f t="shared" si="8"/>
        <v>0</v>
      </c>
      <c r="D136" s="18">
        <f t="shared" si="8"/>
        <v>0</v>
      </c>
      <c r="E136" s="18">
        <f t="shared" si="8"/>
        <v>0</v>
      </c>
      <c r="F136" s="18">
        <f t="shared" si="8"/>
        <v>0</v>
      </c>
      <c r="G136" s="18">
        <f t="shared" si="8"/>
        <v>0</v>
      </c>
      <c r="H136" s="8"/>
      <c r="J136" s="8"/>
      <c r="K136" s="24">
        <f t="shared" si="9"/>
        <v>1169.0249999999999</v>
      </c>
      <c r="M136" s="24">
        <f t="shared" si="10"/>
        <v>0</v>
      </c>
    </row>
  </sheetData>
  <pageMargins left="0.7" right="0.7" top="0.75" bottom="0.75" header="0.3" footer="0.3"/>
  <pageSetup paperSize="0" orientation="portrait" r:id="rId1"/>
  <legacyDrawing r:id="rId2"/>
</worksheet>
</file>

<file path=xl/worksheets/sheet5.xml><?xml version="1.0" encoding="utf-8"?>
<worksheet xmlns="http://schemas.openxmlformats.org/spreadsheetml/2006/main" xmlns:r="http://schemas.openxmlformats.org/officeDocument/2006/relationships">
  <dimension ref="A1:F23"/>
  <sheetViews>
    <sheetView workbookViewId="0"/>
  </sheetViews>
  <sheetFormatPr defaultRowHeight="15"/>
  <cols>
    <col min="1" max="1" width="54.5703125" bestFit="1" customWidth="1"/>
    <col min="3" max="3" width="9.85546875" bestFit="1" customWidth="1"/>
  </cols>
  <sheetData>
    <row r="1" spans="1:5">
      <c r="A1" s="33" t="s">
        <v>99</v>
      </c>
    </row>
    <row r="3" spans="1:5">
      <c r="B3" s="91" t="s">
        <v>100</v>
      </c>
      <c r="C3" s="91"/>
    </row>
    <row r="4" spans="1:5">
      <c r="A4" s="5" t="s">
        <v>33</v>
      </c>
      <c r="B4" s="5">
        <v>2007</v>
      </c>
      <c r="C4" s="5">
        <v>2010</v>
      </c>
      <c r="D4" s="6" t="s">
        <v>34</v>
      </c>
      <c r="E4" s="6" t="s">
        <v>101</v>
      </c>
    </row>
    <row r="5" spans="1:5">
      <c r="A5" t="s">
        <v>255</v>
      </c>
      <c r="B5" s="12">
        <v>2597043</v>
      </c>
      <c r="C5" s="12">
        <v>10098510</v>
      </c>
    </row>
    <row r="6" spans="1:5">
      <c r="A6" t="s">
        <v>256</v>
      </c>
      <c r="B6" s="12">
        <v>4297507</v>
      </c>
      <c r="C6" s="12">
        <v>10468700</v>
      </c>
    </row>
    <row r="7" spans="1:5">
      <c r="A7" t="s">
        <v>257</v>
      </c>
      <c r="B7" s="55">
        <f>B5*B16/B6</f>
        <v>0.52575304938421263</v>
      </c>
      <c r="C7" s="55">
        <f>C5*C16/C6</f>
        <v>0.83634149130264501</v>
      </c>
    </row>
    <row r="8" spans="1:5">
      <c r="B8" s="7"/>
      <c r="C8" s="7"/>
      <c r="D8" s="8"/>
    </row>
    <row r="9" spans="1:5">
      <c r="B9" s="7"/>
      <c r="C9" s="7"/>
      <c r="E9" s="7"/>
    </row>
    <row r="10" spans="1:5">
      <c r="B10" s="7"/>
      <c r="C10" s="7"/>
      <c r="D10" s="6"/>
    </row>
    <row r="11" spans="1:5">
      <c r="B11" s="18"/>
      <c r="C11" s="18"/>
      <c r="D11" s="18"/>
    </row>
    <row r="12" spans="1:5">
      <c r="B12" s="7"/>
      <c r="C12" s="7"/>
      <c r="D12" s="18"/>
      <c r="E12" s="7"/>
    </row>
    <row r="13" spans="1:5">
      <c r="B13" s="91" t="s">
        <v>104</v>
      </c>
      <c r="C13" s="91"/>
    </row>
    <row r="14" spans="1:5">
      <c r="B14" s="5">
        <v>2007</v>
      </c>
      <c r="C14" s="5">
        <v>2010</v>
      </c>
      <c r="D14" s="6" t="s">
        <v>34</v>
      </c>
      <c r="E14" s="6" t="s">
        <v>158</v>
      </c>
    </row>
    <row r="16" spans="1:5">
      <c r="A16" t="s">
        <v>128</v>
      </c>
      <c r="B16" s="15">
        <f>1-0.031-0.041-0.058</f>
        <v>0.86999999999999988</v>
      </c>
      <c r="C16" s="15">
        <f>1-0.038-0.036-0.059</f>
        <v>0.86699999999999999</v>
      </c>
      <c r="D16">
        <f>AVERAGE(B16:C16)</f>
        <v>0.86849999999999994</v>
      </c>
    </row>
    <row r="17" spans="1:6">
      <c r="A17" t="s">
        <v>105</v>
      </c>
      <c r="B17" s="12">
        <v>2540026</v>
      </c>
      <c r="C17" s="12">
        <v>4525601</v>
      </c>
    </row>
    <row r="18" spans="1:6">
      <c r="A18" t="s">
        <v>106</v>
      </c>
      <c r="B18" s="7">
        <f>UIElg!B7</f>
        <v>3616361.3429999999</v>
      </c>
      <c r="C18" s="7">
        <f>UIElg!C7</f>
        <v>5481021.8279999997</v>
      </c>
      <c r="D18" s="6"/>
    </row>
    <row r="19" spans="1:6">
      <c r="A19" t="s">
        <v>107</v>
      </c>
      <c r="B19" s="18">
        <f>B16*B17/B18</f>
        <v>0.61106244935325305</v>
      </c>
      <c r="C19" s="18">
        <f>C16*C17/C18</f>
        <v>0.71586944736393043</v>
      </c>
      <c r="D19" s="18">
        <f>AVERAGE(B19:C19)</f>
        <v>0.66346594835859174</v>
      </c>
      <c r="E19" s="18">
        <f>(B19*UIElg!$B$143/UIElg!$B$140+UIWeights!C19)/2</f>
        <v>0.67788875174591068</v>
      </c>
    </row>
    <row r="20" spans="1:6">
      <c r="A20" t="s">
        <v>130</v>
      </c>
      <c r="B20" s="8">
        <f>1-UIElg!D12</f>
        <v>0.96009458612043486</v>
      </c>
      <c r="C20" s="8">
        <f>1-UIElg!E12</f>
        <v>0.89700940262994722</v>
      </c>
      <c r="D20" s="18">
        <f>AVERAGE(B20:C20)</f>
        <v>0.92855199437519098</v>
      </c>
    </row>
    <row r="21" spans="1:6">
      <c r="A21" t="s">
        <v>159</v>
      </c>
      <c r="E21" s="24">
        <f>E19*D20</f>
        <v>0.62945495239817406</v>
      </c>
      <c r="F21" s="38" t="s">
        <v>160</v>
      </c>
    </row>
    <row r="22" spans="1:6">
      <c r="A22" t="s">
        <v>355</v>
      </c>
      <c r="B22" s="8">
        <f>UIElg!D7</f>
        <v>0.79560646649066369</v>
      </c>
      <c r="C22" s="8">
        <f>UIElg!E7</f>
        <v>0.52108053806474652</v>
      </c>
      <c r="D22" s="18">
        <f>AVERAGE(B22:C22)</f>
        <v>0.65834350227770511</v>
      </c>
    </row>
    <row r="23" spans="1:6">
      <c r="A23" t="s">
        <v>356</v>
      </c>
      <c r="E23" s="24">
        <f>E19*D22</f>
        <v>0.44628365497906464</v>
      </c>
      <c r="F23" s="38" t="s">
        <v>357</v>
      </c>
    </row>
  </sheetData>
  <mergeCells count="2">
    <mergeCell ref="B3:C3"/>
    <mergeCell ref="B13:C1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dimension ref="A1:K144"/>
  <sheetViews>
    <sheetView workbookViewId="0"/>
  </sheetViews>
  <sheetFormatPr defaultRowHeight="15"/>
  <cols>
    <col min="1" max="1" width="19.28515625" bestFit="1" customWidth="1"/>
    <col min="2" max="10" width="9.140625" customWidth="1"/>
  </cols>
  <sheetData>
    <row r="1" spans="1:2">
      <c r="A1" s="1" t="s">
        <v>209</v>
      </c>
    </row>
    <row r="2" spans="1:2">
      <c r="A2" s="1"/>
    </row>
    <row r="3" spans="1:2">
      <c r="A3" t="s">
        <v>1</v>
      </c>
      <c r="B3" t="s">
        <v>183</v>
      </c>
    </row>
    <row r="18" spans="1:11">
      <c r="B18" t="s">
        <v>38</v>
      </c>
      <c r="K18" s="16" t="s">
        <v>210</v>
      </c>
    </row>
    <row r="19" spans="1:11">
      <c r="A19" t="s">
        <v>40</v>
      </c>
      <c r="B19" s="3" t="s">
        <v>482</v>
      </c>
      <c r="K19" s="16"/>
    </row>
    <row r="20" spans="1:11">
      <c r="A20" t="s">
        <v>41</v>
      </c>
      <c r="B20" s="62">
        <f>1-(0.0463139/2)</f>
        <v>0.97684305000000005</v>
      </c>
      <c r="K20" s="16"/>
    </row>
    <row r="21" spans="1:11">
      <c r="A21" t="s">
        <v>7</v>
      </c>
      <c r="B21" s="3" t="s">
        <v>483</v>
      </c>
      <c r="K21" s="16"/>
    </row>
    <row r="22" spans="1:11">
      <c r="A22" t="s">
        <v>18</v>
      </c>
      <c r="B22" s="13">
        <v>39722</v>
      </c>
      <c r="K22" s="16"/>
    </row>
    <row r="23" spans="1:11">
      <c r="A23" t="s">
        <v>19</v>
      </c>
      <c r="B23" s="14" t="s">
        <v>22</v>
      </c>
      <c r="K23" s="16"/>
    </row>
    <row r="24" spans="1:11">
      <c r="A24" t="s">
        <v>20</v>
      </c>
      <c r="B24" s="13">
        <v>41182</v>
      </c>
      <c r="K24" s="16"/>
    </row>
    <row r="25" spans="1:11">
      <c r="A25" t="s">
        <v>21</v>
      </c>
      <c r="B25" s="14" t="s">
        <v>23</v>
      </c>
      <c r="K25" s="16"/>
    </row>
    <row r="26" spans="1:11">
      <c r="K26" s="16"/>
    </row>
    <row r="27" spans="1:11">
      <c r="A27" s="2" t="s">
        <v>30</v>
      </c>
      <c r="B27" s="8">
        <f t="shared" ref="B27" si="0">AVERAGE(B$74:B$85)</f>
        <v>1</v>
      </c>
      <c r="C27" s="8"/>
      <c r="D27" s="8"/>
      <c r="E27" s="8"/>
      <c r="F27" s="8"/>
      <c r="G27" s="8"/>
      <c r="H27" s="8"/>
      <c r="I27" s="8"/>
      <c r="J27" s="8"/>
      <c r="K27" s="17">
        <f t="shared" ref="K27" si="1">AVERAGE(K$74:K$85)</f>
        <v>0.99999999999999989</v>
      </c>
    </row>
    <row r="28" spans="1:11">
      <c r="K28" s="16"/>
    </row>
    <row r="29" spans="1:11">
      <c r="A29" s="4">
        <v>38718</v>
      </c>
      <c r="B29" s="8">
        <f t="shared" ref="B29:B92" si="2">IF($A29&gt;=B$22,IF($A29&lt;=B$24,1,B$20),B$20)</f>
        <v>0.97684305000000005</v>
      </c>
      <c r="C29" s="8"/>
      <c r="D29" s="8"/>
      <c r="E29" s="8"/>
      <c r="F29" s="8"/>
      <c r="G29" s="8"/>
      <c r="H29" s="8"/>
      <c r="I29" s="8"/>
      <c r="J29" s="8"/>
      <c r="K29" s="17">
        <v>0.80534756061573964</v>
      </c>
    </row>
    <row r="30" spans="1:11">
      <c r="A30" s="4">
        <v>38749</v>
      </c>
      <c r="B30" s="8">
        <f t="shared" si="2"/>
        <v>0.97684305000000005</v>
      </c>
      <c r="C30" s="8"/>
      <c r="D30" s="8"/>
      <c r="E30" s="8"/>
      <c r="F30" s="8"/>
      <c r="G30" s="8"/>
      <c r="H30" s="8"/>
      <c r="I30" s="8"/>
      <c r="J30" s="8"/>
      <c r="K30" s="17">
        <v>0.80534756061573964</v>
      </c>
    </row>
    <row r="31" spans="1:11">
      <c r="A31" s="4">
        <v>38777</v>
      </c>
      <c r="B31" s="8">
        <f t="shared" si="2"/>
        <v>0.97684305000000005</v>
      </c>
      <c r="C31" s="8"/>
      <c r="D31" s="8"/>
      <c r="E31" s="8"/>
      <c r="F31" s="8"/>
      <c r="G31" s="8"/>
      <c r="H31" s="8"/>
      <c r="I31" s="8"/>
      <c r="J31" s="8"/>
      <c r="K31" s="17">
        <v>0.80534756061573964</v>
      </c>
    </row>
    <row r="32" spans="1:11">
      <c r="A32" s="4">
        <v>38808</v>
      </c>
      <c r="B32" s="8">
        <f t="shared" si="2"/>
        <v>0.97684305000000005</v>
      </c>
      <c r="C32" s="8"/>
      <c r="D32" s="8"/>
      <c r="E32" s="8"/>
      <c r="F32" s="8"/>
      <c r="G32" s="8"/>
      <c r="H32" s="8"/>
      <c r="I32" s="8"/>
      <c r="J32" s="8"/>
      <c r="K32" s="17">
        <v>0.80534756061573964</v>
      </c>
    </row>
    <row r="33" spans="1:11">
      <c r="A33" s="4">
        <v>38838</v>
      </c>
      <c r="B33" s="8">
        <f t="shared" si="2"/>
        <v>0.97684305000000005</v>
      </c>
      <c r="C33" s="8"/>
      <c r="D33" s="8"/>
      <c r="E33" s="8"/>
      <c r="F33" s="8"/>
      <c r="G33" s="8"/>
      <c r="H33" s="8"/>
      <c r="I33" s="8"/>
      <c r="J33" s="8"/>
      <c r="K33" s="17">
        <v>0.80534756061573964</v>
      </c>
    </row>
    <row r="34" spans="1:11">
      <c r="A34" s="4">
        <v>38869</v>
      </c>
      <c r="B34" s="8">
        <f t="shared" si="2"/>
        <v>0.97684305000000005</v>
      </c>
      <c r="C34" s="8"/>
      <c r="D34" s="8"/>
      <c r="E34" s="8"/>
      <c r="F34" s="8"/>
      <c r="G34" s="8"/>
      <c r="H34" s="8"/>
      <c r="I34" s="8"/>
      <c r="J34" s="8"/>
      <c r="K34" s="17">
        <v>0.80534756061573964</v>
      </c>
    </row>
    <row r="35" spans="1:11">
      <c r="A35" s="4">
        <v>38899</v>
      </c>
      <c r="B35" s="8">
        <f t="shared" si="2"/>
        <v>0.97684305000000005</v>
      </c>
      <c r="C35" s="8"/>
      <c r="D35" s="8"/>
      <c r="E35" s="8"/>
      <c r="F35" s="8"/>
      <c r="G35" s="8"/>
      <c r="H35" s="8"/>
      <c r="I35" s="8"/>
      <c r="J35" s="8"/>
      <c r="K35" s="17">
        <v>0.80534756061573964</v>
      </c>
    </row>
    <row r="36" spans="1:11">
      <c r="A36" s="4">
        <v>38930</v>
      </c>
      <c r="B36" s="8">
        <f t="shared" si="2"/>
        <v>0.97684305000000005</v>
      </c>
      <c r="C36" s="8"/>
      <c r="D36" s="8"/>
      <c r="E36" s="8"/>
      <c r="F36" s="8"/>
      <c r="G36" s="8"/>
      <c r="H36" s="8"/>
      <c r="I36" s="8"/>
      <c r="J36" s="8"/>
      <c r="K36" s="17">
        <v>0.80534756061573964</v>
      </c>
    </row>
    <row r="37" spans="1:11">
      <c r="A37" s="4">
        <v>38961</v>
      </c>
      <c r="B37" s="8">
        <f t="shared" si="2"/>
        <v>0.97684305000000005</v>
      </c>
      <c r="C37" s="8"/>
      <c r="D37" s="8"/>
      <c r="E37" s="8"/>
      <c r="F37" s="8"/>
      <c r="G37" s="8"/>
      <c r="H37" s="8"/>
      <c r="I37" s="8"/>
      <c r="J37" s="8"/>
      <c r="K37" s="17">
        <v>0.80534756061573964</v>
      </c>
    </row>
    <row r="38" spans="1:11">
      <c r="A38" s="4">
        <v>38991</v>
      </c>
      <c r="B38" s="8">
        <f t="shared" si="2"/>
        <v>0.97684305000000005</v>
      </c>
      <c r="C38" s="8"/>
      <c r="D38" s="8"/>
      <c r="E38" s="8"/>
      <c r="F38" s="8"/>
      <c r="G38" s="8"/>
      <c r="H38" s="8"/>
      <c r="I38" s="8"/>
      <c r="J38" s="8"/>
      <c r="K38" s="17">
        <v>0.80534756061573964</v>
      </c>
    </row>
    <row r="39" spans="1:11">
      <c r="A39" s="4">
        <v>39022</v>
      </c>
      <c r="B39" s="8">
        <f t="shared" si="2"/>
        <v>0.97684305000000005</v>
      </c>
      <c r="C39" s="8"/>
      <c r="D39" s="8"/>
      <c r="E39" s="8"/>
      <c r="F39" s="8"/>
      <c r="G39" s="8"/>
      <c r="H39" s="8"/>
      <c r="I39" s="8"/>
      <c r="J39" s="8"/>
      <c r="K39" s="17">
        <v>0.80534756061573964</v>
      </c>
    </row>
    <row r="40" spans="1:11">
      <c r="A40" s="4">
        <v>39052</v>
      </c>
      <c r="B40" s="8">
        <f t="shared" si="2"/>
        <v>0.97684305000000005</v>
      </c>
      <c r="C40" s="8"/>
      <c r="D40" s="8"/>
      <c r="E40" s="8"/>
      <c r="F40" s="8"/>
      <c r="G40" s="8"/>
      <c r="H40" s="8"/>
      <c r="I40" s="8"/>
      <c r="J40" s="8"/>
      <c r="K40" s="17">
        <v>0.8115305320278513</v>
      </c>
    </row>
    <row r="41" spans="1:11">
      <c r="A41" s="4">
        <v>39083</v>
      </c>
      <c r="B41" s="8">
        <f t="shared" si="2"/>
        <v>0.97684305000000005</v>
      </c>
      <c r="C41" s="8"/>
      <c r="D41" s="8"/>
      <c r="E41" s="8"/>
      <c r="F41" s="8"/>
      <c r="G41" s="8"/>
      <c r="H41" s="8"/>
      <c r="I41" s="8"/>
      <c r="J41" s="8"/>
      <c r="K41" s="17">
        <v>0.8115305320278513</v>
      </c>
    </row>
    <row r="42" spans="1:11">
      <c r="A42" s="4">
        <v>39114</v>
      </c>
      <c r="B42" s="8">
        <f t="shared" si="2"/>
        <v>0.97684305000000005</v>
      </c>
      <c r="C42" s="8"/>
      <c r="D42" s="8"/>
      <c r="E42" s="8"/>
      <c r="F42" s="8"/>
      <c r="G42" s="8"/>
      <c r="H42" s="8"/>
      <c r="I42" s="8"/>
      <c r="J42" s="8"/>
      <c r="K42" s="17">
        <v>0.8115305320278513</v>
      </c>
    </row>
    <row r="43" spans="1:11">
      <c r="A43" s="4">
        <v>39142</v>
      </c>
      <c r="B43" s="8">
        <f t="shared" si="2"/>
        <v>0.97684305000000005</v>
      </c>
      <c r="C43" s="8"/>
      <c r="D43" s="8"/>
      <c r="E43" s="8"/>
      <c r="F43" s="8"/>
      <c r="G43" s="8"/>
      <c r="H43" s="8"/>
      <c r="I43" s="8"/>
      <c r="J43" s="8"/>
      <c r="K43" s="17">
        <v>0.8115305320278513</v>
      </c>
    </row>
    <row r="44" spans="1:11">
      <c r="A44" s="4">
        <v>39173</v>
      </c>
      <c r="B44" s="8">
        <f t="shared" si="2"/>
        <v>0.97684305000000005</v>
      </c>
      <c r="C44" s="8"/>
      <c r="D44" s="8"/>
      <c r="E44" s="8"/>
      <c r="F44" s="8"/>
      <c r="G44" s="8"/>
      <c r="H44" s="8"/>
      <c r="I44" s="8"/>
      <c r="J44" s="8"/>
      <c r="K44" s="17">
        <v>0.8115305320278513</v>
      </c>
    </row>
    <row r="45" spans="1:11">
      <c r="A45" s="4">
        <v>39203</v>
      </c>
      <c r="B45" s="8">
        <f t="shared" si="2"/>
        <v>0.97684305000000005</v>
      </c>
      <c r="C45" s="8"/>
      <c r="D45" s="8"/>
      <c r="E45" s="8"/>
      <c r="F45" s="8"/>
      <c r="G45" s="8"/>
      <c r="H45" s="8"/>
      <c r="I45" s="8"/>
      <c r="J45" s="8"/>
      <c r="K45" s="17">
        <v>0.8115305320278513</v>
      </c>
    </row>
    <row r="46" spans="1:11">
      <c r="A46" s="4">
        <v>39234</v>
      </c>
      <c r="B46" s="8">
        <f t="shared" si="2"/>
        <v>0.97684305000000005</v>
      </c>
      <c r="C46" s="8"/>
      <c r="D46" s="8"/>
      <c r="E46" s="8"/>
      <c r="F46" s="8"/>
      <c r="G46" s="8"/>
      <c r="H46" s="8"/>
      <c r="I46" s="8"/>
      <c r="J46" s="8"/>
      <c r="K46" s="17">
        <v>0.81898193045010081</v>
      </c>
    </row>
    <row r="47" spans="1:11">
      <c r="A47" s="4">
        <v>39264</v>
      </c>
      <c r="B47" s="8">
        <f t="shared" si="2"/>
        <v>0.97684305000000005</v>
      </c>
      <c r="C47" s="8"/>
      <c r="D47" s="8"/>
      <c r="E47" s="8"/>
      <c r="F47" s="8"/>
      <c r="G47" s="8"/>
      <c r="H47" s="8"/>
      <c r="I47" s="8"/>
      <c r="J47" s="8"/>
      <c r="K47" s="17">
        <v>0.81898193045010081</v>
      </c>
    </row>
    <row r="48" spans="1:11">
      <c r="A48" s="4">
        <v>39295</v>
      </c>
      <c r="B48" s="8">
        <f t="shared" si="2"/>
        <v>0.97684305000000005</v>
      </c>
      <c r="C48" s="8"/>
      <c r="D48" s="8"/>
      <c r="E48" s="8"/>
      <c r="F48" s="8"/>
      <c r="G48" s="8"/>
      <c r="H48" s="8"/>
      <c r="I48" s="8"/>
      <c r="J48" s="8"/>
      <c r="K48" s="17">
        <v>0.81898193045010081</v>
      </c>
    </row>
    <row r="49" spans="1:11">
      <c r="A49" s="4">
        <v>39326</v>
      </c>
      <c r="B49" s="8">
        <f t="shared" si="2"/>
        <v>0.97684305000000005</v>
      </c>
      <c r="C49" s="8"/>
      <c r="D49" s="8"/>
      <c r="E49" s="8"/>
      <c r="F49" s="8"/>
      <c r="G49" s="8"/>
      <c r="H49" s="8"/>
      <c r="I49" s="8"/>
      <c r="J49" s="8"/>
      <c r="K49" s="17">
        <v>0.81898193045010081</v>
      </c>
    </row>
    <row r="50" spans="1:11">
      <c r="A50" s="4">
        <v>39356</v>
      </c>
      <c r="B50" s="8">
        <f t="shared" si="2"/>
        <v>0.97684305000000005</v>
      </c>
      <c r="C50" s="8"/>
      <c r="D50" s="8"/>
      <c r="E50" s="8"/>
      <c r="F50" s="8"/>
      <c r="G50" s="8"/>
      <c r="H50" s="8"/>
      <c r="I50" s="8"/>
      <c r="J50" s="8"/>
      <c r="K50" s="17">
        <v>0.81898193045010081</v>
      </c>
    </row>
    <row r="51" spans="1:11">
      <c r="A51" s="4">
        <v>39387</v>
      </c>
      <c r="B51" s="8">
        <f t="shared" si="2"/>
        <v>0.97684305000000005</v>
      </c>
      <c r="C51" s="8"/>
      <c r="D51" s="8"/>
      <c r="E51" s="8"/>
      <c r="F51" s="8"/>
      <c r="G51" s="8"/>
      <c r="H51" s="8"/>
      <c r="I51" s="8"/>
      <c r="J51" s="8"/>
      <c r="K51" s="17">
        <v>0.81898193045010081</v>
      </c>
    </row>
    <row r="52" spans="1:11">
      <c r="A52" s="4">
        <v>39417</v>
      </c>
      <c r="B52" s="8">
        <f t="shared" si="2"/>
        <v>0.97684305000000005</v>
      </c>
      <c r="C52" s="8"/>
      <c r="D52" s="8"/>
      <c r="E52" s="8"/>
      <c r="F52" s="8"/>
      <c r="G52" s="8"/>
      <c r="H52" s="8"/>
      <c r="I52" s="8"/>
      <c r="J52" s="8"/>
      <c r="K52" s="17">
        <v>0.81898193045010081</v>
      </c>
    </row>
    <row r="53" spans="1:11">
      <c r="A53" s="4">
        <v>39448</v>
      </c>
      <c r="B53" s="8">
        <f t="shared" si="2"/>
        <v>0.97684305000000005</v>
      </c>
      <c r="C53" s="8"/>
      <c r="D53" s="8"/>
      <c r="E53" s="8"/>
      <c r="F53" s="8"/>
      <c r="G53" s="8"/>
      <c r="H53" s="8"/>
      <c r="I53" s="8"/>
      <c r="J53" s="8"/>
      <c r="K53" s="17">
        <v>0.84157166365465785</v>
      </c>
    </row>
    <row r="54" spans="1:11">
      <c r="A54" s="4">
        <v>39479</v>
      </c>
      <c r="B54" s="8">
        <f t="shared" si="2"/>
        <v>0.97684305000000005</v>
      </c>
      <c r="C54" s="8"/>
      <c r="D54" s="8"/>
      <c r="E54" s="8"/>
      <c r="F54" s="8"/>
      <c r="G54" s="8"/>
      <c r="H54" s="8"/>
      <c r="I54" s="8"/>
      <c r="J54" s="8"/>
      <c r="K54" s="17">
        <v>0.84157166365465785</v>
      </c>
    </row>
    <row r="55" spans="1:11">
      <c r="A55" s="4">
        <v>39508</v>
      </c>
      <c r="B55" s="8">
        <f t="shared" si="2"/>
        <v>0.97684305000000005</v>
      </c>
      <c r="C55" s="8"/>
      <c r="D55" s="8"/>
      <c r="E55" s="8"/>
      <c r="F55" s="8"/>
      <c r="G55" s="8"/>
      <c r="H55" s="8"/>
      <c r="I55" s="8"/>
      <c r="J55" s="8"/>
      <c r="K55" s="17">
        <v>0.85286490055930042</v>
      </c>
    </row>
    <row r="56" spans="1:11">
      <c r="A56" s="4">
        <v>39539</v>
      </c>
      <c r="B56" s="8">
        <f t="shared" si="2"/>
        <v>0.97684305000000005</v>
      </c>
      <c r="C56" s="8"/>
      <c r="D56" s="8"/>
      <c r="E56" s="8"/>
      <c r="F56" s="8"/>
      <c r="G56" s="8"/>
      <c r="H56" s="8"/>
      <c r="I56" s="8"/>
      <c r="J56" s="8"/>
      <c r="K56" s="17">
        <v>0.85286490055930042</v>
      </c>
    </row>
    <row r="57" spans="1:11">
      <c r="A57" s="4">
        <v>39569</v>
      </c>
      <c r="B57" s="8">
        <f t="shared" si="2"/>
        <v>0.97684305000000005</v>
      </c>
      <c r="C57" s="8"/>
      <c r="D57" s="8"/>
      <c r="E57" s="8"/>
      <c r="F57" s="8"/>
      <c r="G57" s="8"/>
      <c r="H57" s="8"/>
      <c r="I57" s="8"/>
      <c r="J57" s="8"/>
      <c r="K57" s="17">
        <v>0.85286490055930042</v>
      </c>
    </row>
    <row r="58" spans="1:11">
      <c r="A58" s="4">
        <v>39600</v>
      </c>
      <c r="B58" s="8">
        <f t="shared" si="2"/>
        <v>0.97684305000000005</v>
      </c>
      <c r="C58" s="8"/>
      <c r="D58" s="8"/>
      <c r="E58" s="8"/>
      <c r="F58" s="8"/>
      <c r="G58" s="8"/>
      <c r="H58" s="8"/>
      <c r="I58" s="8"/>
      <c r="J58" s="8"/>
      <c r="K58" s="17">
        <v>0.85286490055930042</v>
      </c>
    </row>
    <row r="59" spans="1:11">
      <c r="A59" s="4">
        <v>39630</v>
      </c>
      <c r="B59" s="8">
        <f t="shared" si="2"/>
        <v>0.97684305000000005</v>
      </c>
      <c r="C59" s="8"/>
      <c r="D59" s="8"/>
      <c r="E59" s="8"/>
      <c r="F59" s="8"/>
      <c r="G59" s="8"/>
      <c r="H59" s="8"/>
      <c r="I59" s="8"/>
      <c r="J59" s="8"/>
      <c r="K59" s="17">
        <v>0.85286490055930042</v>
      </c>
    </row>
    <row r="60" spans="1:11">
      <c r="A60" s="4">
        <v>39661</v>
      </c>
      <c r="B60" s="8">
        <f t="shared" si="2"/>
        <v>0.97684305000000005</v>
      </c>
      <c r="C60" s="8"/>
      <c r="D60" s="8"/>
      <c r="E60" s="8"/>
      <c r="F60" s="8"/>
      <c r="G60" s="8"/>
      <c r="H60" s="8"/>
      <c r="I60" s="8"/>
      <c r="J60" s="8"/>
      <c r="K60" s="17">
        <v>0.85286490055930042</v>
      </c>
    </row>
    <row r="61" spans="1:11">
      <c r="A61" s="4">
        <v>39692</v>
      </c>
      <c r="B61" s="8">
        <f t="shared" si="2"/>
        <v>0.97684305000000005</v>
      </c>
      <c r="C61" s="8"/>
      <c r="D61" s="8"/>
      <c r="E61" s="8"/>
      <c r="F61" s="8"/>
      <c r="G61" s="8"/>
      <c r="H61" s="8"/>
      <c r="I61" s="8"/>
      <c r="J61" s="8"/>
      <c r="K61" s="17">
        <v>0.85286490055930042</v>
      </c>
    </row>
    <row r="62" spans="1:11">
      <c r="A62" s="4">
        <v>39722</v>
      </c>
      <c r="B62" s="8">
        <f t="shared" si="2"/>
        <v>1</v>
      </c>
      <c r="C62" s="8"/>
      <c r="D62" s="8"/>
      <c r="E62" s="8"/>
      <c r="F62" s="8"/>
      <c r="G62" s="8"/>
      <c r="H62" s="8"/>
      <c r="I62" s="8"/>
      <c r="J62" s="8"/>
      <c r="K62" s="17">
        <v>0.88906145979720752</v>
      </c>
    </row>
    <row r="63" spans="1:11">
      <c r="A63" s="4">
        <v>39753</v>
      </c>
      <c r="B63" s="8">
        <f t="shared" si="2"/>
        <v>1</v>
      </c>
      <c r="C63" s="8"/>
      <c r="D63" s="8"/>
      <c r="E63" s="8"/>
      <c r="F63" s="8"/>
      <c r="G63" s="8"/>
      <c r="H63" s="8"/>
      <c r="I63" s="8"/>
      <c r="J63" s="8"/>
      <c r="K63" s="17">
        <v>0.88906145979720752</v>
      </c>
    </row>
    <row r="64" spans="1:11">
      <c r="A64" s="4">
        <v>39783</v>
      </c>
      <c r="B64" s="8">
        <f t="shared" si="2"/>
        <v>1</v>
      </c>
      <c r="C64" s="8"/>
      <c r="D64" s="8"/>
      <c r="E64" s="8"/>
      <c r="F64" s="8"/>
      <c r="G64" s="8"/>
      <c r="H64" s="8"/>
      <c r="I64" s="8"/>
      <c r="J64" s="8"/>
      <c r="K64" s="17">
        <v>0.88906145979720752</v>
      </c>
    </row>
    <row r="65" spans="1:11">
      <c r="A65" s="4">
        <v>39814</v>
      </c>
      <c r="B65" s="8">
        <f t="shared" si="2"/>
        <v>1</v>
      </c>
      <c r="C65" s="8"/>
      <c r="D65" s="8"/>
      <c r="E65" s="8"/>
      <c r="F65" s="8"/>
      <c r="G65" s="8"/>
      <c r="H65" s="8"/>
      <c r="I65" s="8"/>
      <c r="J65" s="8"/>
      <c r="K65" s="17">
        <v>0.88980820026087737</v>
      </c>
    </row>
    <row r="66" spans="1:11">
      <c r="A66" s="4">
        <v>39845</v>
      </c>
      <c r="B66" s="8">
        <f t="shared" si="2"/>
        <v>1</v>
      </c>
      <c r="C66" s="8"/>
      <c r="D66" s="8"/>
      <c r="E66" s="8"/>
      <c r="F66" s="8"/>
      <c r="G66" s="8"/>
      <c r="H66" s="8"/>
      <c r="I66" s="8"/>
      <c r="J66" s="8"/>
      <c r="K66" s="17">
        <v>0.88980820026087737</v>
      </c>
    </row>
    <row r="67" spans="1:11">
      <c r="A67" s="4">
        <v>39873</v>
      </c>
      <c r="B67" s="8">
        <f t="shared" si="2"/>
        <v>1</v>
      </c>
      <c r="C67" s="8"/>
      <c r="D67" s="8"/>
      <c r="E67" s="8"/>
      <c r="F67" s="8"/>
      <c r="G67" s="8"/>
      <c r="H67" s="8"/>
      <c r="I67" s="8"/>
      <c r="J67" s="8"/>
      <c r="K67" s="17">
        <v>0.89098893832320969</v>
      </c>
    </row>
    <row r="68" spans="1:11">
      <c r="A68" s="4">
        <v>39904</v>
      </c>
      <c r="B68" s="8">
        <f t="shared" si="2"/>
        <v>1</v>
      </c>
      <c r="C68" s="8"/>
      <c r="D68" s="8"/>
      <c r="E68" s="8"/>
      <c r="F68" s="8"/>
      <c r="G68" s="8"/>
      <c r="H68" s="8"/>
      <c r="I68" s="8"/>
      <c r="J68" s="8"/>
      <c r="K68" s="17">
        <v>0.8954677963100246</v>
      </c>
    </row>
    <row r="69" spans="1:11">
      <c r="A69" s="4">
        <v>39934</v>
      </c>
      <c r="B69" s="8">
        <f t="shared" si="2"/>
        <v>1</v>
      </c>
      <c r="C69" s="8"/>
      <c r="D69" s="8"/>
      <c r="E69" s="8"/>
      <c r="F69" s="8"/>
      <c r="G69" s="8"/>
      <c r="H69" s="8"/>
      <c r="I69" s="8"/>
      <c r="J69" s="8"/>
      <c r="K69" s="17">
        <v>0.89703883195929068</v>
      </c>
    </row>
    <row r="70" spans="1:11">
      <c r="A70" s="4">
        <v>39965</v>
      </c>
      <c r="B70" s="8">
        <f t="shared" si="2"/>
        <v>1</v>
      </c>
      <c r="C70" s="8"/>
      <c r="D70" s="8"/>
      <c r="E70" s="8"/>
      <c r="F70" s="8"/>
      <c r="G70" s="8"/>
      <c r="H70" s="8"/>
      <c r="I70" s="8"/>
      <c r="J70" s="8"/>
      <c r="K70" s="17">
        <v>0.90338628640873342</v>
      </c>
    </row>
    <row r="71" spans="1:11">
      <c r="A71" s="4">
        <v>39995</v>
      </c>
      <c r="B71" s="8">
        <f t="shared" si="2"/>
        <v>1</v>
      </c>
      <c r="C71" s="8"/>
      <c r="D71" s="8"/>
      <c r="E71" s="8"/>
      <c r="F71" s="8"/>
      <c r="G71" s="8"/>
      <c r="H71" s="8"/>
      <c r="I71" s="8"/>
      <c r="J71" s="8"/>
      <c r="K71" s="17">
        <v>0.95210925522163836</v>
      </c>
    </row>
    <row r="72" spans="1:11">
      <c r="A72" s="4">
        <v>40026</v>
      </c>
      <c r="B72" s="8">
        <f t="shared" si="2"/>
        <v>1</v>
      </c>
      <c r="C72" s="8"/>
      <c r="D72" s="8"/>
      <c r="E72" s="8"/>
      <c r="F72" s="8"/>
      <c r="G72" s="8"/>
      <c r="H72" s="8"/>
      <c r="I72" s="8"/>
      <c r="J72" s="8"/>
      <c r="K72" s="17">
        <v>0.96726789175683392</v>
      </c>
    </row>
    <row r="73" spans="1:11">
      <c r="A73" s="4">
        <v>40057</v>
      </c>
      <c r="B73" s="8">
        <f t="shared" si="2"/>
        <v>1</v>
      </c>
      <c r="C73" s="8"/>
      <c r="D73" s="8"/>
      <c r="E73" s="8"/>
      <c r="F73" s="8"/>
      <c r="G73" s="8"/>
      <c r="H73" s="8"/>
      <c r="I73" s="8"/>
      <c r="J73" s="8"/>
      <c r="K73" s="17">
        <v>0.96726789175683392</v>
      </c>
    </row>
    <row r="74" spans="1:11">
      <c r="A74" s="4">
        <v>40087</v>
      </c>
      <c r="B74" s="8">
        <f t="shared" si="2"/>
        <v>1</v>
      </c>
      <c r="C74" s="8"/>
      <c r="D74" s="8"/>
      <c r="E74" s="8"/>
      <c r="F74" s="8"/>
      <c r="G74" s="8"/>
      <c r="H74" s="8"/>
      <c r="I74" s="8"/>
      <c r="J74" s="8"/>
      <c r="K74" s="17">
        <v>0.96726789175683392</v>
      </c>
    </row>
    <row r="75" spans="1:11">
      <c r="A75" s="4">
        <v>40118</v>
      </c>
      <c r="B75" s="8">
        <f t="shared" si="2"/>
        <v>1</v>
      </c>
      <c r="C75" s="8"/>
      <c r="D75" s="8"/>
      <c r="E75" s="8"/>
      <c r="F75" s="8"/>
      <c r="G75" s="8"/>
      <c r="H75" s="8"/>
      <c r="I75" s="8"/>
      <c r="J75" s="8"/>
      <c r="K75" s="17">
        <v>0.96726789175683392</v>
      </c>
    </row>
    <row r="76" spans="1:11">
      <c r="A76" s="4">
        <v>40148</v>
      </c>
      <c r="B76" s="8">
        <f t="shared" si="2"/>
        <v>1</v>
      </c>
      <c r="C76" s="8"/>
      <c r="D76" s="8"/>
      <c r="E76" s="8"/>
      <c r="F76" s="8"/>
      <c r="G76" s="8"/>
      <c r="H76" s="8"/>
      <c r="I76" s="8"/>
      <c r="J76" s="8"/>
      <c r="K76" s="17">
        <v>0.96726789175683392</v>
      </c>
    </row>
    <row r="77" spans="1:11">
      <c r="A77" s="4">
        <v>40179</v>
      </c>
      <c r="B77" s="8">
        <f t="shared" si="2"/>
        <v>1</v>
      </c>
      <c r="C77" s="8"/>
      <c r="D77" s="8"/>
      <c r="E77" s="8"/>
      <c r="F77" s="8"/>
      <c r="G77" s="8"/>
      <c r="H77" s="8"/>
      <c r="I77" s="8"/>
      <c r="J77" s="8"/>
      <c r="K77" s="17">
        <v>0.96726789175683392</v>
      </c>
    </row>
    <row r="78" spans="1:11">
      <c r="A78" s="4">
        <v>40210</v>
      </c>
      <c r="B78" s="8">
        <f t="shared" si="2"/>
        <v>1</v>
      </c>
      <c r="C78" s="8"/>
      <c r="D78" s="8"/>
      <c r="E78" s="8"/>
      <c r="F78" s="8"/>
      <c r="G78" s="8"/>
      <c r="H78" s="8"/>
      <c r="I78" s="8"/>
      <c r="J78" s="8"/>
      <c r="K78" s="17">
        <v>0.97297188474572127</v>
      </c>
    </row>
    <row r="79" spans="1:11">
      <c r="A79" s="4">
        <v>40238</v>
      </c>
      <c r="B79" s="8">
        <f t="shared" si="2"/>
        <v>1</v>
      </c>
      <c r="C79" s="8"/>
      <c r="D79" s="8"/>
      <c r="E79" s="8"/>
      <c r="F79" s="8"/>
      <c r="G79" s="8"/>
      <c r="H79" s="8"/>
      <c r="I79" s="8"/>
      <c r="J79" s="8"/>
      <c r="K79" s="17">
        <v>0.98828357454846216</v>
      </c>
    </row>
    <row r="80" spans="1:11">
      <c r="A80" s="4">
        <v>40269</v>
      </c>
      <c r="B80" s="8">
        <f t="shared" si="2"/>
        <v>1</v>
      </c>
      <c r="C80" s="8"/>
      <c r="D80" s="8"/>
      <c r="E80" s="8"/>
      <c r="F80" s="8"/>
      <c r="G80" s="8"/>
      <c r="H80" s="8"/>
      <c r="I80" s="8"/>
      <c r="J80" s="8"/>
      <c r="K80" s="17">
        <v>1.0019509963657249</v>
      </c>
    </row>
    <row r="81" spans="1:11">
      <c r="A81" s="4">
        <v>40299</v>
      </c>
      <c r="B81" s="8">
        <f t="shared" si="2"/>
        <v>1</v>
      </c>
      <c r="C81" s="8"/>
      <c r="D81" s="8"/>
      <c r="E81" s="8"/>
      <c r="F81" s="8"/>
      <c r="G81" s="8"/>
      <c r="H81" s="8"/>
      <c r="I81" s="8"/>
      <c r="J81" s="8"/>
      <c r="K81" s="17">
        <v>1.0019509963657249</v>
      </c>
    </row>
    <row r="82" spans="1:11">
      <c r="A82" s="4">
        <v>40330</v>
      </c>
      <c r="B82" s="8">
        <f t="shared" si="2"/>
        <v>1</v>
      </c>
      <c r="C82" s="8"/>
      <c r="D82" s="8"/>
      <c r="E82" s="8"/>
      <c r="F82" s="8"/>
      <c r="G82" s="8"/>
      <c r="H82" s="8"/>
      <c r="I82" s="8"/>
      <c r="J82" s="8"/>
      <c r="K82" s="17">
        <v>1.0160805387363021</v>
      </c>
    </row>
    <row r="83" spans="1:11">
      <c r="A83" s="4">
        <v>40360</v>
      </c>
      <c r="B83" s="8">
        <f t="shared" si="2"/>
        <v>1</v>
      </c>
      <c r="C83" s="8"/>
      <c r="D83" s="8"/>
      <c r="E83" s="8"/>
      <c r="F83" s="8"/>
      <c r="G83" s="8"/>
      <c r="H83" s="8"/>
      <c r="I83" s="8"/>
      <c r="J83" s="8"/>
      <c r="K83" s="17">
        <v>1.0498968140702434</v>
      </c>
    </row>
    <row r="84" spans="1:11">
      <c r="A84" s="4">
        <v>40391</v>
      </c>
      <c r="B84" s="8">
        <f t="shared" si="2"/>
        <v>1</v>
      </c>
      <c r="C84" s="8"/>
      <c r="D84" s="8"/>
      <c r="E84" s="8"/>
      <c r="F84" s="8"/>
      <c r="G84" s="8"/>
      <c r="H84" s="8"/>
      <c r="I84" s="8"/>
      <c r="J84" s="8"/>
      <c r="K84" s="17">
        <v>1.0498968140702434</v>
      </c>
    </row>
    <row r="85" spans="1:11">
      <c r="A85" s="4">
        <v>40422</v>
      </c>
      <c r="B85" s="8">
        <f t="shared" si="2"/>
        <v>1</v>
      </c>
      <c r="C85" s="8"/>
      <c r="D85" s="8"/>
      <c r="E85" s="8"/>
      <c r="F85" s="8"/>
      <c r="G85" s="8"/>
      <c r="H85" s="8"/>
      <c r="I85" s="8"/>
      <c r="J85" s="8"/>
      <c r="K85" s="17">
        <v>1.0498968140702434</v>
      </c>
    </row>
    <row r="86" spans="1:11">
      <c r="A86" s="4">
        <v>40452</v>
      </c>
      <c r="B86" s="8">
        <f t="shared" si="2"/>
        <v>1</v>
      </c>
      <c r="C86" s="8"/>
      <c r="D86" s="8"/>
      <c r="E86" s="8"/>
      <c r="F86" s="8"/>
      <c r="G86" s="8"/>
      <c r="H86" s="8"/>
      <c r="I86" s="8"/>
      <c r="J86" s="8"/>
      <c r="K86" s="17">
        <v>1.0498968140702434</v>
      </c>
    </row>
    <row r="87" spans="1:11">
      <c r="A87" s="4">
        <v>40483</v>
      </c>
      <c r="B87" s="8">
        <f t="shared" si="2"/>
        <v>1</v>
      </c>
      <c r="C87" s="8"/>
      <c r="D87" s="8"/>
      <c r="E87" s="8"/>
      <c r="F87" s="8"/>
      <c r="G87" s="8"/>
      <c r="H87" s="8"/>
      <c r="I87" s="8"/>
      <c r="J87" s="8"/>
      <c r="K87" s="17">
        <v>1.0498968140702434</v>
      </c>
    </row>
    <row r="88" spans="1:11">
      <c r="A88" s="4">
        <v>40513</v>
      </c>
      <c r="B88" s="8">
        <f t="shared" si="2"/>
        <v>1</v>
      </c>
      <c r="C88" s="8"/>
      <c r="D88" s="8"/>
      <c r="E88" s="8"/>
      <c r="F88" s="8"/>
      <c r="G88" s="8"/>
      <c r="H88" s="8"/>
      <c r="I88" s="8"/>
      <c r="J88" s="8"/>
      <c r="K88" s="17">
        <v>1.0498968140702434</v>
      </c>
    </row>
    <row r="89" spans="1:11">
      <c r="A89" s="4">
        <v>40544</v>
      </c>
      <c r="B89" s="8">
        <f t="shared" si="2"/>
        <v>1</v>
      </c>
      <c r="C89" s="8"/>
      <c r="D89" s="8"/>
      <c r="E89" s="8"/>
      <c r="F89" s="8"/>
      <c r="G89" s="8"/>
      <c r="H89" s="8"/>
      <c r="I89" s="8"/>
      <c r="J89" s="8"/>
      <c r="K89" s="17">
        <v>1.0551555846233531</v>
      </c>
    </row>
    <row r="90" spans="1:11">
      <c r="A90" s="4">
        <v>40575</v>
      </c>
      <c r="B90" s="8">
        <f t="shared" si="2"/>
        <v>1</v>
      </c>
      <c r="C90" s="8"/>
      <c r="D90" s="8"/>
      <c r="E90" s="8"/>
      <c r="F90" s="8"/>
      <c r="G90" s="8"/>
      <c r="H90" s="8"/>
      <c r="I90" s="8"/>
      <c r="J90" s="8"/>
      <c r="K90" s="17">
        <v>1.0551555846233531</v>
      </c>
    </row>
    <row r="91" spans="1:11">
      <c r="A91" s="4">
        <v>40603</v>
      </c>
      <c r="B91" s="8">
        <f t="shared" si="2"/>
        <v>1</v>
      </c>
      <c r="C91" s="8"/>
      <c r="D91" s="8"/>
      <c r="E91" s="8"/>
      <c r="F91" s="8"/>
      <c r="G91" s="8"/>
      <c r="H91" s="8"/>
      <c r="I91" s="8"/>
      <c r="J91" s="8"/>
      <c r="K91" s="17">
        <v>1.0551555846233531</v>
      </c>
    </row>
    <row r="92" spans="1:11">
      <c r="A92" s="4">
        <v>40634</v>
      </c>
      <c r="B92" s="8">
        <f t="shared" si="2"/>
        <v>1</v>
      </c>
      <c r="C92" s="8"/>
      <c r="D92" s="8"/>
      <c r="E92" s="8"/>
      <c r="F92" s="8"/>
      <c r="G92" s="8"/>
      <c r="H92" s="8"/>
      <c r="I92" s="8"/>
      <c r="J92" s="8"/>
      <c r="K92" s="17">
        <v>1.0551555846233531</v>
      </c>
    </row>
    <row r="93" spans="1:11">
      <c r="A93" s="4">
        <v>40664</v>
      </c>
      <c r="B93" s="8">
        <f t="shared" ref="B93:B136" si="3">IF($A93&gt;=B$22,IF($A93&lt;=B$24,1,B$20),B$20)</f>
        <v>1</v>
      </c>
      <c r="C93" s="8"/>
      <c r="D93" s="8"/>
      <c r="E93" s="8"/>
      <c r="F93" s="8"/>
      <c r="G93" s="8"/>
      <c r="H93" s="8"/>
      <c r="I93" s="8"/>
      <c r="J93" s="8"/>
      <c r="K93" s="17">
        <v>1.0551555846233531</v>
      </c>
    </row>
    <row r="94" spans="1:11">
      <c r="A94" s="4">
        <v>40695</v>
      </c>
      <c r="B94" s="8">
        <f t="shared" si="3"/>
        <v>1</v>
      </c>
      <c r="C94" s="8"/>
      <c r="D94" s="8"/>
      <c r="E94" s="8"/>
      <c r="F94" s="8"/>
      <c r="G94" s="8"/>
      <c r="H94" s="8"/>
      <c r="I94" s="8"/>
      <c r="J94" s="8"/>
      <c r="K94" s="17">
        <v>1.0551555846233531</v>
      </c>
    </row>
    <row r="95" spans="1:11">
      <c r="A95" s="4">
        <v>40725</v>
      </c>
      <c r="B95" s="8">
        <f t="shared" si="3"/>
        <v>1</v>
      </c>
      <c r="C95" s="8"/>
      <c r="D95" s="8"/>
      <c r="E95" s="8"/>
      <c r="F95" s="8"/>
      <c r="G95" s="8"/>
      <c r="H95" s="8"/>
      <c r="I95" s="8"/>
      <c r="J95" s="8"/>
      <c r="K95" s="17">
        <v>1.0551555846233531</v>
      </c>
    </row>
    <row r="96" spans="1:11">
      <c r="A96" s="4">
        <v>40756</v>
      </c>
      <c r="B96" s="8">
        <f t="shared" si="3"/>
        <v>1</v>
      </c>
      <c r="C96" s="8"/>
      <c r="D96" s="8"/>
      <c r="E96" s="8"/>
      <c r="F96" s="8"/>
      <c r="G96" s="8"/>
      <c r="H96" s="8"/>
      <c r="I96" s="8"/>
      <c r="J96" s="8"/>
      <c r="K96" s="17">
        <v>1.0551555846233531</v>
      </c>
    </row>
    <row r="97" spans="1:11">
      <c r="A97" s="4">
        <v>40787</v>
      </c>
      <c r="B97" s="8">
        <f t="shared" si="3"/>
        <v>1</v>
      </c>
      <c r="C97" s="8"/>
      <c r="D97" s="8"/>
      <c r="E97" s="8"/>
      <c r="F97" s="8"/>
      <c r="G97" s="8"/>
      <c r="H97" s="8"/>
      <c r="I97" s="8"/>
      <c r="J97" s="8"/>
      <c r="K97" s="17">
        <v>1.0551555846233531</v>
      </c>
    </row>
    <row r="98" spans="1:11">
      <c r="A98" s="4">
        <v>40817</v>
      </c>
      <c r="B98" s="8">
        <f t="shared" si="3"/>
        <v>1</v>
      </c>
      <c r="C98" s="8"/>
      <c r="D98" s="8"/>
      <c r="E98" s="8"/>
      <c r="F98" s="8"/>
      <c r="G98" s="8"/>
      <c r="H98" s="8"/>
      <c r="I98" s="8"/>
      <c r="J98" s="8"/>
      <c r="K98" s="17">
        <v>1.0611572756631387</v>
      </c>
    </row>
    <row r="99" spans="1:11">
      <c r="A99" s="4">
        <v>40848</v>
      </c>
      <c r="B99" s="8">
        <f t="shared" si="3"/>
        <v>1</v>
      </c>
      <c r="C99" s="8"/>
      <c r="D99" s="8"/>
      <c r="E99" s="8"/>
      <c r="F99" s="8"/>
      <c r="G99" s="8"/>
      <c r="H99" s="8"/>
      <c r="I99" s="8"/>
      <c r="J99" s="8"/>
      <c r="K99" s="17">
        <v>1.0611572756631387</v>
      </c>
    </row>
    <row r="100" spans="1:11">
      <c r="A100" s="4">
        <v>40878</v>
      </c>
      <c r="B100" s="8">
        <f t="shared" si="3"/>
        <v>1</v>
      </c>
      <c r="C100" s="8"/>
      <c r="D100" s="8"/>
      <c r="E100" s="8"/>
      <c r="F100" s="8"/>
      <c r="G100" s="8"/>
      <c r="H100" s="8"/>
      <c r="I100" s="8"/>
      <c r="J100" s="8"/>
      <c r="K100" s="17">
        <v>1.0611572756631387</v>
      </c>
    </row>
    <row r="101" spans="1:11">
      <c r="A101" s="4">
        <v>40909</v>
      </c>
      <c r="B101" s="8">
        <f t="shared" si="3"/>
        <v>1</v>
      </c>
      <c r="C101" s="8"/>
      <c r="D101" s="8"/>
      <c r="E101" s="8"/>
      <c r="F101" s="8"/>
      <c r="G101" s="8"/>
      <c r="H101" s="8"/>
      <c r="I101" s="8"/>
      <c r="J101" s="8"/>
      <c r="K101" s="17">
        <v>1.0611572756631387</v>
      </c>
    </row>
    <row r="102" spans="1:11">
      <c r="A102" s="4">
        <v>40940</v>
      </c>
      <c r="B102" s="8">
        <f t="shared" si="3"/>
        <v>1</v>
      </c>
      <c r="C102" s="8"/>
      <c r="D102" s="8"/>
      <c r="E102" s="8"/>
      <c r="F102" s="8"/>
      <c r="G102" s="8"/>
      <c r="H102" s="8"/>
      <c r="I102" s="8"/>
      <c r="J102" s="8"/>
      <c r="K102" s="17">
        <v>1.0611572756631387</v>
      </c>
    </row>
    <row r="103" spans="1:11">
      <c r="A103" s="4">
        <v>40969</v>
      </c>
      <c r="B103" s="8">
        <f t="shared" si="3"/>
        <v>1</v>
      </c>
      <c r="C103" s="8"/>
      <c r="D103" s="8"/>
      <c r="E103" s="8"/>
      <c r="F103" s="8"/>
      <c r="G103" s="8"/>
      <c r="H103" s="8"/>
      <c r="I103" s="8"/>
      <c r="J103" s="8"/>
      <c r="K103" s="17">
        <v>1.0611572756631387</v>
      </c>
    </row>
    <row r="104" spans="1:11">
      <c r="A104" s="4">
        <v>41000</v>
      </c>
      <c r="B104" s="8">
        <f t="shared" si="3"/>
        <v>1</v>
      </c>
      <c r="C104" s="8"/>
      <c r="D104" s="8"/>
      <c r="E104" s="8"/>
      <c r="F104" s="8"/>
      <c r="G104" s="8"/>
      <c r="H104" s="8"/>
      <c r="I104" s="8"/>
      <c r="J104" s="8"/>
      <c r="K104" s="17">
        <v>1.0611572756631387</v>
      </c>
    </row>
    <row r="105" spans="1:11">
      <c r="A105" s="4">
        <v>41030</v>
      </c>
      <c r="B105" s="8">
        <f t="shared" si="3"/>
        <v>1</v>
      </c>
      <c r="C105" s="8"/>
      <c r="D105" s="8"/>
      <c r="E105" s="8"/>
      <c r="F105" s="8"/>
      <c r="G105" s="8"/>
      <c r="H105" s="8"/>
      <c r="I105" s="8"/>
      <c r="J105" s="8"/>
      <c r="K105" s="17">
        <v>1.0611572756631387</v>
      </c>
    </row>
    <row r="106" spans="1:11">
      <c r="A106" s="4">
        <v>41061</v>
      </c>
      <c r="B106" s="8">
        <f t="shared" si="3"/>
        <v>1</v>
      </c>
      <c r="C106" s="8"/>
      <c r="D106" s="8"/>
      <c r="E106" s="8"/>
      <c r="F106" s="8"/>
      <c r="G106" s="8"/>
      <c r="H106" s="8"/>
      <c r="I106" s="8"/>
      <c r="J106" s="8"/>
      <c r="K106" s="17">
        <v>1.0611572756631387</v>
      </c>
    </row>
    <row r="107" spans="1:11">
      <c r="A107" s="4">
        <v>41091</v>
      </c>
      <c r="B107" s="8">
        <f t="shared" si="3"/>
        <v>1</v>
      </c>
      <c r="C107" s="8"/>
      <c r="D107" s="8"/>
      <c r="E107" s="8"/>
      <c r="F107" s="8"/>
      <c r="G107" s="8"/>
      <c r="H107" s="8"/>
      <c r="I107" s="8"/>
      <c r="J107" s="8"/>
      <c r="K107" s="17">
        <v>1.0611572756631387</v>
      </c>
    </row>
    <row r="108" spans="1:11">
      <c r="A108" s="4">
        <v>41122</v>
      </c>
      <c r="B108" s="8">
        <f t="shared" si="3"/>
        <v>1</v>
      </c>
      <c r="C108" s="8"/>
      <c r="D108" s="8"/>
      <c r="E108" s="8"/>
      <c r="F108" s="8"/>
      <c r="G108" s="8"/>
      <c r="H108" s="8"/>
      <c r="I108" s="8"/>
      <c r="J108" s="8"/>
      <c r="K108" s="17">
        <v>1.0611572756631387</v>
      </c>
    </row>
    <row r="109" spans="1:11">
      <c r="A109" s="4">
        <v>41153</v>
      </c>
      <c r="B109" s="8">
        <f t="shared" si="3"/>
        <v>1</v>
      </c>
      <c r="C109" s="8"/>
      <c r="D109" s="8"/>
      <c r="E109" s="8"/>
      <c r="F109" s="8"/>
      <c r="G109" s="8"/>
      <c r="H109" s="8"/>
      <c r="I109" s="8"/>
      <c r="J109" s="8"/>
      <c r="K109" s="17">
        <v>1.0611572756631387</v>
      </c>
    </row>
    <row r="110" spans="1:11">
      <c r="A110" s="4">
        <v>41183</v>
      </c>
      <c r="B110" s="8">
        <f t="shared" si="3"/>
        <v>0.97684305000000005</v>
      </c>
      <c r="C110" s="8"/>
      <c r="D110" s="8"/>
      <c r="E110" s="8"/>
      <c r="F110" s="8"/>
      <c r="G110" s="8"/>
      <c r="H110" s="8"/>
      <c r="I110" s="8"/>
      <c r="J110" s="8"/>
      <c r="K110" s="17">
        <v>1.0365841096884711</v>
      </c>
    </row>
    <row r="111" spans="1:11">
      <c r="A111" s="4">
        <v>41214</v>
      </c>
      <c r="B111" s="8">
        <f t="shared" si="3"/>
        <v>0.97684305000000005</v>
      </c>
      <c r="C111" s="8"/>
      <c r="D111" s="8"/>
      <c r="E111" s="8"/>
      <c r="F111" s="8"/>
      <c r="G111" s="8"/>
      <c r="H111" s="8"/>
      <c r="I111" s="8"/>
      <c r="J111" s="8"/>
      <c r="K111" s="17">
        <v>1.0365841096884711</v>
      </c>
    </row>
    <row r="112" spans="1:11">
      <c r="A112" s="4">
        <v>41244</v>
      </c>
      <c r="B112" s="8">
        <f t="shared" si="3"/>
        <v>0.97684305000000005</v>
      </c>
      <c r="C112" s="8"/>
      <c r="D112" s="8"/>
      <c r="E112" s="8"/>
      <c r="F112" s="8"/>
      <c r="G112" s="8"/>
      <c r="H112" s="8"/>
      <c r="I112" s="8"/>
      <c r="J112" s="8"/>
      <c r="K112" s="17">
        <v>1.0365841096884711</v>
      </c>
    </row>
    <row r="113" spans="1:11">
      <c r="A113" s="4">
        <v>41275</v>
      </c>
      <c r="B113" s="8">
        <f t="shared" si="3"/>
        <v>0.97684305000000005</v>
      </c>
      <c r="C113" s="8"/>
      <c r="D113" s="8"/>
      <c r="E113" s="8"/>
      <c r="F113" s="8"/>
      <c r="G113" s="8"/>
      <c r="H113" s="8"/>
      <c r="I113" s="8"/>
      <c r="J113" s="8"/>
      <c r="K113" s="17">
        <v>1.0365841096884711</v>
      </c>
    </row>
    <row r="114" spans="1:11">
      <c r="A114" s="4">
        <v>41306</v>
      </c>
      <c r="B114" s="8">
        <f t="shared" si="3"/>
        <v>0.97684305000000005</v>
      </c>
      <c r="C114" s="8"/>
      <c r="D114" s="8"/>
      <c r="E114" s="8"/>
      <c r="F114" s="8"/>
      <c r="G114" s="8"/>
      <c r="H114" s="8"/>
      <c r="I114" s="8"/>
      <c r="J114" s="8"/>
      <c r="K114" s="17">
        <v>1.0365841096884711</v>
      </c>
    </row>
    <row r="115" spans="1:11">
      <c r="A115" s="4">
        <v>41334</v>
      </c>
      <c r="B115" s="8">
        <f t="shared" si="3"/>
        <v>0.97684305000000005</v>
      </c>
      <c r="C115" s="8"/>
      <c r="D115" s="8"/>
      <c r="E115" s="8"/>
      <c r="F115" s="8"/>
      <c r="G115" s="8"/>
      <c r="H115" s="8"/>
      <c r="I115" s="8"/>
      <c r="J115" s="8"/>
      <c r="K115" s="17">
        <v>1.0365841096884711</v>
      </c>
    </row>
    <row r="116" spans="1:11">
      <c r="A116" s="4">
        <v>41365</v>
      </c>
      <c r="B116" s="8">
        <f t="shared" si="3"/>
        <v>0.97684305000000005</v>
      </c>
      <c r="C116" s="8"/>
      <c r="D116" s="8"/>
      <c r="E116" s="8"/>
      <c r="F116" s="8"/>
      <c r="G116" s="8"/>
      <c r="H116" s="8"/>
      <c r="I116" s="8"/>
      <c r="J116" s="8"/>
      <c r="K116" s="17">
        <v>1.0365841096884711</v>
      </c>
    </row>
    <row r="117" spans="1:11">
      <c r="A117" s="4">
        <v>41395</v>
      </c>
      <c r="B117" s="8">
        <f t="shared" si="3"/>
        <v>0.97684305000000005</v>
      </c>
      <c r="C117" s="8"/>
      <c r="D117" s="8"/>
      <c r="E117" s="8"/>
      <c r="F117" s="8"/>
      <c r="G117" s="8"/>
      <c r="H117" s="8"/>
      <c r="I117" s="8"/>
      <c r="J117" s="8"/>
      <c r="K117" s="17">
        <v>1.0365841096884711</v>
      </c>
    </row>
    <row r="118" spans="1:11">
      <c r="A118" s="4">
        <v>41426</v>
      </c>
      <c r="B118" s="8">
        <f t="shared" si="3"/>
        <v>0.97684305000000005</v>
      </c>
      <c r="C118" s="8"/>
      <c r="D118" s="8"/>
      <c r="E118" s="8"/>
      <c r="F118" s="8"/>
      <c r="G118" s="8"/>
      <c r="H118" s="8"/>
      <c r="I118" s="8"/>
      <c r="J118" s="8"/>
      <c r="K118" s="17">
        <v>1.0365841096884711</v>
      </c>
    </row>
    <row r="119" spans="1:11">
      <c r="A119" s="4">
        <v>41456</v>
      </c>
      <c r="B119" s="8">
        <f t="shared" si="3"/>
        <v>0.97684305000000005</v>
      </c>
      <c r="C119" s="8"/>
      <c r="D119" s="8"/>
      <c r="E119" s="8"/>
      <c r="F119" s="8"/>
      <c r="G119" s="8"/>
      <c r="H119" s="8"/>
      <c r="I119" s="8"/>
      <c r="J119" s="8"/>
      <c r="K119" s="17">
        <v>1.0365841096884711</v>
      </c>
    </row>
    <row r="120" spans="1:11">
      <c r="A120" s="4">
        <v>41487</v>
      </c>
      <c r="B120" s="8">
        <f t="shared" si="3"/>
        <v>0.97684305000000005</v>
      </c>
      <c r="C120" s="8"/>
      <c r="D120" s="8"/>
      <c r="E120" s="8"/>
      <c r="F120" s="8"/>
      <c r="G120" s="8"/>
      <c r="H120" s="8"/>
      <c r="I120" s="8"/>
      <c r="J120" s="8"/>
      <c r="K120" s="17">
        <v>1.0365841096884711</v>
      </c>
    </row>
    <row r="121" spans="1:11">
      <c r="A121" s="4">
        <v>41518</v>
      </c>
      <c r="B121" s="8">
        <f t="shared" si="3"/>
        <v>0.97684305000000005</v>
      </c>
      <c r="C121" s="8"/>
      <c r="D121" s="8"/>
      <c r="E121" s="8"/>
      <c r="F121" s="8"/>
      <c r="G121" s="8"/>
      <c r="H121" s="8"/>
      <c r="I121" s="8"/>
      <c r="J121" s="8"/>
      <c r="K121" s="17">
        <v>1.0365841096884711</v>
      </c>
    </row>
    <row r="122" spans="1:11">
      <c r="A122" s="4">
        <v>41548</v>
      </c>
      <c r="B122" s="8">
        <f t="shared" si="3"/>
        <v>0.97684305000000005</v>
      </c>
      <c r="C122" s="8"/>
      <c r="D122" s="8"/>
      <c r="E122" s="8"/>
      <c r="F122" s="8"/>
      <c r="G122" s="8"/>
      <c r="H122" s="8"/>
      <c r="I122" s="8"/>
      <c r="J122" s="8"/>
      <c r="K122" s="17">
        <v>1.0365841096884711</v>
      </c>
    </row>
    <row r="123" spans="1:11">
      <c r="A123" s="4">
        <v>41579</v>
      </c>
      <c r="B123" s="8">
        <f t="shared" si="3"/>
        <v>0.97684305000000005</v>
      </c>
      <c r="C123" s="8"/>
      <c r="D123" s="8"/>
      <c r="E123" s="8"/>
      <c r="F123" s="8"/>
      <c r="G123" s="8"/>
      <c r="H123" s="8"/>
      <c r="I123" s="8"/>
      <c r="J123" s="8"/>
      <c r="K123" s="17">
        <v>1.0365841096884711</v>
      </c>
    </row>
    <row r="124" spans="1:11">
      <c r="A124" s="4">
        <v>41609</v>
      </c>
      <c r="B124" s="8">
        <f t="shared" si="3"/>
        <v>0.97684305000000005</v>
      </c>
      <c r="C124" s="8"/>
      <c r="D124" s="8"/>
      <c r="E124" s="8"/>
      <c r="F124" s="8"/>
      <c r="G124" s="8"/>
      <c r="H124" s="8"/>
      <c r="I124" s="8"/>
      <c r="J124" s="8"/>
      <c r="K124" s="17">
        <v>1.0365841096884711</v>
      </c>
    </row>
    <row r="125" spans="1:11">
      <c r="A125" s="4">
        <v>41640</v>
      </c>
      <c r="B125" s="8">
        <f t="shared" si="3"/>
        <v>0.97684305000000005</v>
      </c>
      <c r="C125" s="8"/>
      <c r="D125" s="8"/>
      <c r="E125" s="8"/>
      <c r="F125" s="8"/>
      <c r="G125" s="8"/>
      <c r="H125" s="8"/>
      <c r="I125" s="8"/>
      <c r="J125" s="8"/>
      <c r="K125" s="17">
        <v>1.0365841096884711</v>
      </c>
    </row>
    <row r="126" spans="1:11">
      <c r="A126" s="4">
        <v>41671</v>
      </c>
      <c r="B126" s="8">
        <f t="shared" si="3"/>
        <v>0.97684305000000005</v>
      </c>
      <c r="C126" s="8"/>
      <c r="D126" s="8"/>
      <c r="E126" s="8"/>
      <c r="F126" s="8"/>
      <c r="G126" s="8"/>
      <c r="H126" s="8"/>
      <c r="I126" s="8"/>
      <c r="J126" s="8"/>
      <c r="K126" s="17">
        <v>1.0365841096884711</v>
      </c>
    </row>
    <row r="127" spans="1:11">
      <c r="A127" s="4">
        <v>41699</v>
      </c>
      <c r="B127" s="8">
        <f t="shared" si="3"/>
        <v>0.97684305000000005</v>
      </c>
      <c r="C127" s="8"/>
      <c r="D127" s="8"/>
      <c r="E127" s="8"/>
      <c r="F127" s="8"/>
      <c r="G127" s="8"/>
      <c r="H127" s="8"/>
      <c r="I127" s="8"/>
      <c r="J127" s="8"/>
      <c r="K127" s="17">
        <v>1.0365841096884711</v>
      </c>
    </row>
    <row r="128" spans="1:11">
      <c r="A128" s="4">
        <v>41730</v>
      </c>
      <c r="B128" s="8">
        <f t="shared" si="3"/>
        <v>0.97684305000000005</v>
      </c>
      <c r="C128" s="8"/>
      <c r="D128" s="8"/>
      <c r="E128" s="8"/>
      <c r="F128" s="8"/>
      <c r="G128" s="8"/>
      <c r="H128" s="8"/>
      <c r="I128" s="8"/>
      <c r="J128" s="8"/>
      <c r="K128" s="17">
        <v>1.0365841096884711</v>
      </c>
    </row>
    <row r="129" spans="1:11">
      <c r="A129" s="4">
        <v>41760</v>
      </c>
      <c r="B129" s="8">
        <f t="shared" si="3"/>
        <v>0.97684305000000005</v>
      </c>
      <c r="C129" s="8"/>
      <c r="D129" s="8"/>
      <c r="E129" s="8"/>
      <c r="F129" s="8"/>
      <c r="G129" s="8"/>
      <c r="H129" s="8"/>
      <c r="I129" s="8"/>
      <c r="J129" s="8"/>
      <c r="K129" s="17">
        <v>1.0365841096884711</v>
      </c>
    </row>
    <row r="130" spans="1:11">
      <c r="A130" s="4">
        <v>41791</v>
      </c>
      <c r="B130" s="8">
        <f t="shared" si="3"/>
        <v>0.97684305000000005</v>
      </c>
      <c r="C130" s="8"/>
      <c r="D130" s="8"/>
      <c r="E130" s="8"/>
      <c r="F130" s="8"/>
      <c r="G130" s="8"/>
      <c r="H130" s="8"/>
      <c r="I130" s="8"/>
      <c r="J130" s="8"/>
      <c r="K130" s="17">
        <v>1.0365841096884711</v>
      </c>
    </row>
    <row r="131" spans="1:11">
      <c r="A131" s="4">
        <v>41821</v>
      </c>
      <c r="B131" s="8">
        <f t="shared" si="3"/>
        <v>0.97684305000000005</v>
      </c>
      <c r="C131" s="8"/>
      <c r="D131" s="8"/>
      <c r="E131" s="8"/>
      <c r="F131" s="8"/>
      <c r="G131" s="8"/>
      <c r="H131" s="8"/>
      <c r="I131" s="8"/>
      <c r="J131" s="8"/>
      <c r="K131" s="17">
        <v>1.0365841096884711</v>
      </c>
    </row>
    <row r="132" spans="1:11">
      <c r="A132" s="4">
        <v>41852</v>
      </c>
      <c r="B132" s="8">
        <f t="shared" si="3"/>
        <v>0.97684305000000005</v>
      </c>
      <c r="C132" s="8"/>
      <c r="D132" s="8"/>
      <c r="E132" s="8"/>
      <c r="F132" s="8"/>
      <c r="G132" s="8"/>
      <c r="H132" s="8"/>
      <c r="I132" s="8"/>
      <c r="J132" s="8"/>
      <c r="K132" s="17">
        <v>1.0365841096884711</v>
      </c>
    </row>
    <row r="133" spans="1:11">
      <c r="A133" s="4">
        <v>41883</v>
      </c>
      <c r="B133" s="8">
        <f t="shared" si="3"/>
        <v>0.97684305000000005</v>
      </c>
      <c r="C133" s="8"/>
      <c r="D133" s="8"/>
      <c r="E133" s="8"/>
      <c r="F133" s="8"/>
      <c r="G133" s="8"/>
      <c r="H133" s="8"/>
      <c r="I133" s="8"/>
      <c r="J133" s="8"/>
      <c r="K133" s="17">
        <v>1.0365841096884711</v>
      </c>
    </row>
    <row r="134" spans="1:11">
      <c r="A134" s="4">
        <v>41913</v>
      </c>
      <c r="B134" s="8">
        <f t="shared" si="3"/>
        <v>0.97684305000000005</v>
      </c>
      <c r="C134" s="8"/>
      <c r="D134" s="8"/>
      <c r="E134" s="8"/>
      <c r="F134" s="8"/>
      <c r="G134" s="8"/>
      <c r="H134" s="8"/>
      <c r="I134" s="8"/>
      <c r="J134" s="8"/>
      <c r="K134" s="17">
        <v>1.0365841096884711</v>
      </c>
    </row>
    <row r="135" spans="1:11">
      <c r="A135" s="4">
        <v>41944</v>
      </c>
      <c r="B135" s="8">
        <f t="shared" si="3"/>
        <v>0.97684305000000005</v>
      </c>
      <c r="C135" s="8"/>
      <c r="D135" s="8"/>
      <c r="E135" s="8"/>
      <c r="F135" s="8"/>
      <c r="G135" s="8"/>
      <c r="H135" s="8"/>
      <c r="I135" s="8"/>
      <c r="J135" s="8"/>
      <c r="K135" s="17">
        <v>1.0365841096884711</v>
      </c>
    </row>
    <row r="136" spans="1:11">
      <c r="A136" s="4">
        <v>41974</v>
      </c>
      <c r="B136" s="8">
        <f t="shared" si="3"/>
        <v>0.97684305000000005</v>
      </c>
      <c r="C136" s="8"/>
      <c r="D136" s="8"/>
      <c r="E136" s="8"/>
      <c r="F136" s="8"/>
      <c r="G136" s="8"/>
      <c r="H136" s="8"/>
      <c r="I136" s="8"/>
      <c r="J136" s="8"/>
      <c r="K136" s="17">
        <v>1.0365841096884711</v>
      </c>
    </row>
    <row r="139" spans="1:11">
      <c r="A139" s="6" t="s">
        <v>129</v>
      </c>
    </row>
    <row r="140" spans="1:11">
      <c r="A140" s="10">
        <v>2007</v>
      </c>
      <c r="B140" s="8"/>
      <c r="C140" s="8"/>
      <c r="D140" s="8"/>
      <c r="E140" s="8"/>
      <c r="F140" s="8"/>
      <c r="G140" s="8"/>
      <c r="H140" s="8"/>
      <c r="I140" s="8"/>
      <c r="J140" s="8"/>
      <c r="K140" s="17">
        <f>AVERAGE(K41:K52)</f>
        <v>0.81587718110749663</v>
      </c>
    </row>
    <row r="141" spans="1:11">
      <c r="A141" s="10">
        <v>2008</v>
      </c>
      <c r="B141" s="8"/>
      <c r="C141" s="8"/>
      <c r="D141" s="8"/>
      <c r="E141" s="8"/>
      <c r="F141" s="8"/>
      <c r="G141" s="8"/>
      <c r="H141" s="8"/>
      <c r="I141" s="8"/>
      <c r="J141" s="8"/>
      <c r="K141" s="17">
        <f>AVERAGE(K53:K64)</f>
        <v>0.86003183421800344</v>
      </c>
    </row>
    <row r="142" spans="1:11">
      <c r="A142" s="10">
        <v>2009</v>
      </c>
      <c r="B142" s="8"/>
      <c r="C142" s="8"/>
      <c r="D142" s="8"/>
      <c r="E142" s="8"/>
      <c r="F142" s="8"/>
      <c r="G142" s="8"/>
      <c r="H142" s="8"/>
      <c r="I142" s="8"/>
      <c r="J142" s="8"/>
      <c r="K142" s="17">
        <f>AVERAGE(K65:K76)</f>
        <v>0.929578913960735</v>
      </c>
    </row>
    <row r="143" spans="1:11">
      <c r="A143" s="10">
        <v>2010</v>
      </c>
      <c r="B143" s="8"/>
      <c r="C143" s="8"/>
      <c r="D143" s="8"/>
      <c r="E143" s="8"/>
      <c r="F143" s="8"/>
      <c r="G143" s="8"/>
      <c r="H143" s="8"/>
      <c r="I143" s="8"/>
      <c r="J143" s="8"/>
      <c r="K143" s="17">
        <f>AVERAGE(K77:K88)</f>
        <v>1.0206572305783523</v>
      </c>
    </row>
    <row r="144" spans="1:11">
      <c r="A144" s="10">
        <v>2011</v>
      </c>
      <c r="B144" s="8"/>
      <c r="C144" s="8"/>
      <c r="D144" s="8"/>
      <c r="E144" s="8"/>
      <c r="F144" s="8"/>
      <c r="G144" s="8"/>
      <c r="H144" s="8"/>
      <c r="I144" s="8"/>
      <c r="J144" s="8"/>
      <c r="K144" s="17">
        <f>AVERAGE(K89:K100)</f>
        <v>1.0566560073832993</v>
      </c>
    </row>
  </sheetData>
  <pageMargins left="0.7" right="0.7" top="0.75" bottom="0.75" header="0.3" footer="0.3"/>
  <pageSetup paperSize="0" orientation="portrait" r:id="rId1"/>
  <legacyDrawing r:id="rId2"/>
</worksheet>
</file>

<file path=xl/worksheets/sheet7.xml><?xml version="1.0" encoding="utf-8"?>
<worksheet xmlns="http://schemas.openxmlformats.org/spreadsheetml/2006/main" xmlns:r="http://schemas.openxmlformats.org/officeDocument/2006/relationships">
  <dimension ref="A1:K144"/>
  <sheetViews>
    <sheetView workbookViewId="0"/>
  </sheetViews>
  <sheetFormatPr defaultRowHeight="15"/>
  <cols>
    <col min="1" max="1" width="42.85546875" bestFit="1" customWidth="1"/>
    <col min="2" max="2" width="18.5703125" bestFit="1" customWidth="1"/>
    <col min="3" max="3" width="9.85546875" bestFit="1" customWidth="1"/>
  </cols>
  <sheetData>
    <row r="1" spans="1:3">
      <c r="A1" s="1" t="s">
        <v>181</v>
      </c>
    </row>
    <row r="2" spans="1:3">
      <c r="A2" s="1"/>
    </row>
    <row r="3" spans="1:3">
      <c r="A3" t="s">
        <v>1</v>
      </c>
      <c r="B3" t="str">
        <f>SNAPElg!B3</f>
        <v>non-elderly household, with income at or below 125% poverty, and participating in SNAP under FY 2010 rules</v>
      </c>
    </row>
    <row r="5" spans="1:3">
      <c r="A5" s="5" t="s">
        <v>33</v>
      </c>
    </row>
    <row r="6" spans="1:3">
      <c r="A6" t="s">
        <v>185</v>
      </c>
      <c r="B6" s="12">
        <v>18369000</v>
      </c>
    </row>
    <row r="7" spans="1:3">
      <c r="A7" s="40" t="s">
        <v>187</v>
      </c>
      <c r="B7" s="12">
        <v>2852000</v>
      </c>
    </row>
    <row r="8" spans="1:3">
      <c r="A8" s="40" t="s">
        <v>188</v>
      </c>
      <c r="B8" s="8">
        <f>B7/B6</f>
        <v>0.15526158201317436</v>
      </c>
    </row>
    <row r="9" spans="1:3">
      <c r="A9" t="s">
        <v>184</v>
      </c>
      <c r="B9" s="42">
        <v>289.61</v>
      </c>
    </row>
    <row r="10" spans="1:3">
      <c r="A10" t="s">
        <v>189</v>
      </c>
      <c r="B10" s="43">
        <f>144/287</f>
        <v>0.50174216027874563</v>
      </c>
    </row>
    <row r="11" spans="1:3">
      <c r="A11" t="s">
        <v>190</v>
      </c>
      <c r="B11" s="18">
        <f>B9*(1-B10*B8)/(1-B8)</f>
        <v>316.13219448647874</v>
      </c>
    </row>
    <row r="12" spans="1:3">
      <c r="A12" t="s">
        <v>191</v>
      </c>
      <c r="B12" s="18">
        <f>B11-SUM($C$23:$F$23)</f>
        <v>223.45549412248121</v>
      </c>
    </row>
    <row r="13" spans="1:3">
      <c r="A13" t="s">
        <v>186</v>
      </c>
      <c r="B13" s="18">
        <f>AVERAGE(FREDconnect!B53:B64)</f>
        <v>110.76008333333334</v>
      </c>
    </row>
    <row r="16" spans="1:3">
      <c r="C16" s="7"/>
    </row>
    <row r="17" spans="1:11">
      <c r="B17" s="91" t="s">
        <v>202</v>
      </c>
      <c r="C17" s="91"/>
      <c r="D17" s="91"/>
      <c r="E17" s="91"/>
      <c r="F17" s="91"/>
    </row>
    <row r="18" spans="1:11">
      <c r="A18" t="s">
        <v>54</v>
      </c>
      <c r="B18" s="2" t="s">
        <v>55</v>
      </c>
      <c r="C18" s="3" t="s">
        <v>192</v>
      </c>
      <c r="D18" s="3" t="s">
        <v>193</v>
      </c>
      <c r="E18" s="2" t="s">
        <v>194</v>
      </c>
      <c r="F18" s="3" t="s">
        <v>195</v>
      </c>
      <c r="G18" s="3"/>
      <c r="K18" s="16" t="s">
        <v>201</v>
      </c>
    </row>
    <row r="19" spans="1:11">
      <c r="A19" t="s">
        <v>18</v>
      </c>
      <c r="B19" s="13">
        <v>38718</v>
      </c>
      <c r="C19" s="13">
        <v>38991</v>
      </c>
      <c r="D19" s="13">
        <v>39356</v>
      </c>
      <c r="E19" s="13">
        <v>39722</v>
      </c>
      <c r="F19" s="13">
        <v>39904</v>
      </c>
      <c r="K19" s="16"/>
    </row>
    <row r="20" spans="1:11">
      <c r="A20" t="s">
        <v>19</v>
      </c>
      <c r="B20" s="14" t="s">
        <v>23</v>
      </c>
      <c r="C20" s="14" t="s">
        <v>23</v>
      </c>
      <c r="D20" s="14" t="s">
        <v>23</v>
      </c>
      <c r="E20" s="44" t="s">
        <v>196</v>
      </c>
      <c r="F20" s="14" t="s">
        <v>22</v>
      </c>
      <c r="K20" s="16"/>
    </row>
    <row r="21" spans="1:11">
      <c r="A21" t="s">
        <v>20</v>
      </c>
      <c r="B21" s="13">
        <v>72867</v>
      </c>
      <c r="C21" s="13">
        <v>72867</v>
      </c>
      <c r="D21" s="13">
        <v>72867</v>
      </c>
      <c r="E21" s="13">
        <v>72867</v>
      </c>
      <c r="F21" s="13">
        <v>72867</v>
      </c>
      <c r="K21" s="16"/>
    </row>
    <row r="22" spans="1:11">
      <c r="A22" t="s">
        <v>21</v>
      </c>
      <c r="B22" s="14" t="s">
        <v>23</v>
      </c>
      <c r="C22" s="14" t="s">
        <v>23</v>
      </c>
      <c r="D22" s="14" t="s">
        <v>23</v>
      </c>
      <c r="E22" s="14" t="s">
        <v>23</v>
      </c>
      <c r="F22" s="15" t="s">
        <v>200</v>
      </c>
      <c r="K22" s="16"/>
    </row>
    <row r="23" spans="1:11">
      <c r="A23" t="s">
        <v>56</v>
      </c>
      <c r="B23" s="18">
        <f>B12</f>
        <v>223.45549412248121</v>
      </c>
      <c r="C23" s="20">
        <v>6.2445028514500809</v>
      </c>
      <c r="D23" s="20">
        <v>13.370543791225849</v>
      </c>
      <c r="E23" s="20">
        <v>28.062950185974824</v>
      </c>
      <c r="F23" s="20">
        <v>44.998703535346785</v>
      </c>
      <c r="K23" s="16"/>
    </row>
    <row r="24" spans="1:11">
      <c r="K24" s="16"/>
    </row>
    <row r="25" spans="1:11">
      <c r="K25" s="16"/>
    </row>
    <row r="26" spans="1:11">
      <c r="A26" s="2" t="s">
        <v>485</v>
      </c>
      <c r="K26" s="24">
        <f>AVERAGE(K$38:K$49)</f>
        <v>243.23279441430705</v>
      </c>
    </row>
    <row r="27" spans="1:11">
      <c r="A27" s="2" t="s">
        <v>30</v>
      </c>
      <c r="B27" s="18">
        <f t="shared" ref="B27:F27" si="0">AVERAGE(B$74:B$85)</f>
        <v>223.45549412248116</v>
      </c>
      <c r="C27" s="18">
        <f t="shared" si="0"/>
        <v>6.24450285145008</v>
      </c>
      <c r="D27" s="18">
        <f t="shared" si="0"/>
        <v>13.370543791225854</v>
      </c>
      <c r="E27" s="18">
        <f t="shared" si="0"/>
        <v>28.062950185974824</v>
      </c>
      <c r="F27" s="18">
        <f t="shared" si="0"/>
        <v>44.998703535346799</v>
      </c>
      <c r="G27" s="18"/>
      <c r="H27" s="8"/>
      <c r="J27" s="8"/>
      <c r="K27" s="24">
        <f>AVERAGE(K$74:K$85)</f>
        <v>316.13509345204079</v>
      </c>
    </row>
    <row r="28" spans="1:11">
      <c r="K28" s="16"/>
    </row>
    <row r="29" spans="1:11">
      <c r="A29" s="4">
        <v>38718</v>
      </c>
      <c r="B29" s="18">
        <f t="shared" ref="B29:F38" si="1">IF($A29&gt;=B$19,IF($A29&lt;=B$21,B$23,0),0)</f>
        <v>223.45549412248121</v>
      </c>
      <c r="C29" s="18">
        <f t="shared" si="1"/>
        <v>0</v>
      </c>
      <c r="D29" s="18">
        <f t="shared" si="1"/>
        <v>0</v>
      </c>
      <c r="E29" s="18">
        <f t="shared" si="1"/>
        <v>0</v>
      </c>
      <c r="F29" s="18">
        <f t="shared" si="1"/>
        <v>0</v>
      </c>
      <c r="G29" s="18"/>
      <c r="H29" s="8"/>
      <c r="J29" s="8"/>
      <c r="K29" s="24">
        <f>SUM(B29:F29)*$B$13/VLOOKUP($A29,FREDconnect!$A$8:$B$86,2)</f>
        <v>243.3240507913917</v>
      </c>
    </row>
    <row r="30" spans="1:11">
      <c r="A30" s="4">
        <v>38749</v>
      </c>
      <c r="B30" s="18">
        <f t="shared" si="1"/>
        <v>223.45549412248121</v>
      </c>
      <c r="C30" s="18">
        <f t="shared" si="1"/>
        <v>0</v>
      </c>
      <c r="D30" s="18">
        <f t="shared" si="1"/>
        <v>0</v>
      </c>
      <c r="E30" s="18">
        <f t="shared" si="1"/>
        <v>0</v>
      </c>
      <c r="F30" s="18">
        <f t="shared" si="1"/>
        <v>0</v>
      </c>
      <c r="G30" s="18"/>
      <c r="H30" s="8"/>
      <c r="J30" s="8"/>
      <c r="K30" s="24">
        <f>SUM(B30:F30)*$B$13/VLOOKUP($A30,FREDconnect!$A$8:$B$86,2)</f>
        <v>243.22840078518414</v>
      </c>
    </row>
    <row r="31" spans="1:11">
      <c r="A31" s="4">
        <v>38777</v>
      </c>
      <c r="B31" s="18">
        <f t="shared" si="1"/>
        <v>223.45549412248121</v>
      </c>
      <c r="C31" s="18">
        <f t="shared" si="1"/>
        <v>0</v>
      </c>
      <c r="D31" s="18">
        <f t="shared" si="1"/>
        <v>0</v>
      </c>
      <c r="E31" s="18">
        <f t="shared" si="1"/>
        <v>0</v>
      </c>
      <c r="F31" s="18">
        <f t="shared" si="1"/>
        <v>0</v>
      </c>
      <c r="G31" s="18"/>
      <c r="H31" s="8"/>
      <c r="J31" s="8"/>
      <c r="K31" s="24">
        <f>SUM(B31:F31)*$B$13/VLOOKUP($A31,FREDconnect!$A$8:$B$86,2)</f>
        <v>242.86323239652236</v>
      </c>
    </row>
    <row r="32" spans="1:11">
      <c r="A32" s="4">
        <v>38808</v>
      </c>
      <c r="B32" s="18">
        <f t="shared" si="1"/>
        <v>223.45549412248121</v>
      </c>
      <c r="C32" s="18">
        <f t="shared" si="1"/>
        <v>0</v>
      </c>
      <c r="D32" s="18">
        <f t="shared" si="1"/>
        <v>0</v>
      </c>
      <c r="E32" s="18">
        <f t="shared" si="1"/>
        <v>0</v>
      </c>
      <c r="F32" s="18">
        <f t="shared" si="1"/>
        <v>0</v>
      </c>
      <c r="G32" s="18"/>
      <c r="H32" s="8"/>
      <c r="J32" s="8"/>
      <c r="K32" s="24">
        <f>SUM(B32:F32)*$B$13/VLOOKUP($A32,FREDconnect!$A$8:$B$86,2)</f>
        <v>241.90188195454385</v>
      </c>
    </row>
    <row r="33" spans="1:11">
      <c r="A33" s="4">
        <v>38838</v>
      </c>
      <c r="B33" s="18">
        <f t="shared" si="1"/>
        <v>223.45549412248121</v>
      </c>
      <c r="C33" s="18">
        <f t="shared" si="1"/>
        <v>0</v>
      </c>
      <c r="D33" s="18">
        <f t="shared" si="1"/>
        <v>0</v>
      </c>
      <c r="E33" s="18">
        <f t="shared" si="1"/>
        <v>0</v>
      </c>
      <c r="F33" s="18">
        <f t="shared" si="1"/>
        <v>0</v>
      </c>
      <c r="G33" s="18"/>
      <c r="H33" s="8"/>
      <c r="J33" s="8"/>
      <c r="K33" s="24">
        <f>SUM(B33:F33)*$B$13/VLOOKUP($A33,FREDconnect!$A$8:$B$86,2)</f>
        <v>241.30048211737656</v>
      </c>
    </row>
    <row r="34" spans="1:11">
      <c r="A34" s="4">
        <v>38869</v>
      </c>
      <c r="B34" s="18">
        <f t="shared" si="1"/>
        <v>223.45549412248121</v>
      </c>
      <c r="C34" s="18">
        <f t="shared" si="1"/>
        <v>0</v>
      </c>
      <c r="D34" s="18">
        <f t="shared" si="1"/>
        <v>0</v>
      </c>
      <c r="E34" s="18">
        <f t="shared" si="1"/>
        <v>0</v>
      </c>
      <c r="F34" s="18">
        <f t="shared" si="1"/>
        <v>0</v>
      </c>
      <c r="G34" s="18"/>
      <c r="H34" s="8"/>
      <c r="J34" s="8"/>
      <c r="K34" s="24">
        <f>SUM(B34:F34)*$B$13/VLOOKUP($A34,FREDconnect!$A$8:$B$86,2)</f>
        <v>240.84963313219217</v>
      </c>
    </row>
    <row r="35" spans="1:11">
      <c r="A35" s="4">
        <v>38899</v>
      </c>
      <c r="B35" s="18">
        <f t="shared" si="1"/>
        <v>223.45549412248121</v>
      </c>
      <c r="C35" s="18">
        <f t="shared" si="1"/>
        <v>0</v>
      </c>
      <c r="D35" s="18">
        <f t="shared" si="1"/>
        <v>0</v>
      </c>
      <c r="E35" s="18">
        <f t="shared" si="1"/>
        <v>0</v>
      </c>
      <c r="F35" s="18">
        <f t="shared" si="1"/>
        <v>0</v>
      </c>
      <c r="G35" s="18"/>
      <c r="H35" s="8"/>
      <c r="J35" s="8"/>
      <c r="K35" s="24">
        <f>SUM(B35:F35)*$B$13/VLOOKUP($A35,FREDconnect!$A$8:$B$86,2)</f>
        <v>240.08098894458431</v>
      </c>
    </row>
    <row r="36" spans="1:11">
      <c r="A36" s="4">
        <v>38930</v>
      </c>
      <c r="B36" s="18">
        <f t="shared" si="1"/>
        <v>223.45549412248121</v>
      </c>
      <c r="C36" s="18">
        <f t="shared" si="1"/>
        <v>0</v>
      </c>
      <c r="D36" s="18">
        <f t="shared" si="1"/>
        <v>0</v>
      </c>
      <c r="E36" s="18">
        <f t="shared" si="1"/>
        <v>0</v>
      </c>
      <c r="F36" s="18">
        <f t="shared" si="1"/>
        <v>0</v>
      </c>
      <c r="G36" s="18"/>
      <c r="H36" s="8"/>
      <c r="J36" s="8"/>
      <c r="K36" s="24">
        <f>SUM(B36:F36)*$B$13/VLOOKUP($A36,FREDconnect!$A$8:$B$86,2)</f>
        <v>239.15536095910866</v>
      </c>
    </row>
    <row r="37" spans="1:11">
      <c r="A37" s="4">
        <v>38961</v>
      </c>
      <c r="B37" s="18">
        <f t="shared" si="1"/>
        <v>223.45549412248121</v>
      </c>
      <c r="C37" s="18">
        <f t="shared" si="1"/>
        <v>0</v>
      </c>
      <c r="D37" s="18">
        <f t="shared" si="1"/>
        <v>0</v>
      </c>
      <c r="E37" s="18">
        <f t="shared" si="1"/>
        <v>0</v>
      </c>
      <c r="F37" s="18">
        <f t="shared" si="1"/>
        <v>0</v>
      </c>
      <c r="G37" s="18"/>
      <c r="H37" s="8"/>
      <c r="J37" s="8"/>
      <c r="K37" s="24">
        <f>SUM(B37:F37)*$B$13/VLOOKUP($A37,FREDconnect!$A$8:$B$86,2)</f>
        <v>239.64164205983016</v>
      </c>
    </row>
    <row r="38" spans="1:11">
      <c r="A38" s="4">
        <v>38991</v>
      </c>
      <c r="B38" s="18">
        <f t="shared" si="1"/>
        <v>223.45549412248121</v>
      </c>
      <c r="C38" s="18">
        <f t="shared" si="1"/>
        <v>6.2445028514500809</v>
      </c>
      <c r="D38" s="18">
        <f t="shared" si="1"/>
        <v>0</v>
      </c>
      <c r="E38" s="18">
        <f t="shared" si="1"/>
        <v>0</v>
      </c>
      <c r="F38" s="18">
        <f t="shared" si="1"/>
        <v>0</v>
      </c>
      <c r="G38" s="18"/>
      <c r="H38" s="8"/>
      <c r="J38" s="8"/>
      <c r="K38" s="24">
        <f>SUM(B38:F38)*$B$13/VLOOKUP($A38,FREDconnect!$A$8:$B$86,2)</f>
        <v>246.90505625375135</v>
      </c>
    </row>
    <row r="39" spans="1:11">
      <c r="A39" s="4">
        <v>39022</v>
      </c>
      <c r="B39" s="18">
        <f t="shared" ref="B39:F48" si="2">IF($A39&gt;=B$19,IF($A39&lt;=B$21,B$23,0),0)</f>
        <v>223.45549412248121</v>
      </c>
      <c r="C39" s="18">
        <f t="shared" si="2"/>
        <v>6.2445028514500809</v>
      </c>
      <c r="D39" s="18">
        <f t="shared" si="2"/>
        <v>0</v>
      </c>
      <c r="E39" s="18">
        <f t="shared" si="2"/>
        <v>0</v>
      </c>
      <c r="F39" s="18">
        <f t="shared" si="2"/>
        <v>0</v>
      </c>
      <c r="G39" s="18"/>
      <c r="H39" s="8"/>
      <c r="J39" s="8"/>
      <c r="K39" s="24">
        <f>SUM(B39:F39)*$B$13/VLOOKUP($A39,FREDconnect!$A$8:$B$86,2)</f>
        <v>246.59155793181401</v>
      </c>
    </row>
    <row r="40" spans="1:11">
      <c r="A40" s="4">
        <v>39052</v>
      </c>
      <c r="B40" s="18">
        <f t="shared" si="2"/>
        <v>223.45549412248121</v>
      </c>
      <c r="C40" s="18">
        <f t="shared" si="2"/>
        <v>6.2445028514500809</v>
      </c>
      <c r="D40" s="18">
        <f t="shared" si="2"/>
        <v>0</v>
      </c>
      <c r="E40" s="18">
        <f t="shared" si="2"/>
        <v>0</v>
      </c>
      <c r="F40" s="18">
        <f t="shared" si="2"/>
        <v>0</v>
      </c>
      <c r="G40" s="18"/>
      <c r="H40" s="8"/>
      <c r="J40" s="8"/>
      <c r="K40" s="24">
        <f>SUM(B40:F40)*$B$13/VLOOKUP($A40,FREDconnect!$A$8:$B$86,2)</f>
        <v>245.63447556359205</v>
      </c>
    </row>
    <row r="41" spans="1:11">
      <c r="A41" s="4">
        <v>39083</v>
      </c>
      <c r="B41" s="18">
        <f t="shared" si="2"/>
        <v>223.45549412248121</v>
      </c>
      <c r="C41" s="18">
        <f t="shared" si="2"/>
        <v>6.2445028514500809</v>
      </c>
      <c r="D41" s="18">
        <f t="shared" si="2"/>
        <v>0</v>
      </c>
      <c r="E41" s="18">
        <f t="shared" si="2"/>
        <v>0</v>
      </c>
      <c r="F41" s="18">
        <f t="shared" si="2"/>
        <v>0</v>
      </c>
      <c r="G41" s="18"/>
      <c r="H41" s="8"/>
      <c r="J41" s="8"/>
      <c r="K41" s="24">
        <f>SUM(B41:F41)*$B$13/VLOOKUP($A41,FREDconnect!$A$8:$B$86,2)</f>
        <v>244.91091543688498</v>
      </c>
    </row>
    <row r="42" spans="1:11">
      <c r="A42" s="4">
        <v>39114</v>
      </c>
      <c r="B42" s="18">
        <f t="shared" si="2"/>
        <v>223.45549412248121</v>
      </c>
      <c r="C42" s="18">
        <f t="shared" si="2"/>
        <v>6.2445028514500809</v>
      </c>
      <c r="D42" s="18">
        <f t="shared" si="2"/>
        <v>0</v>
      </c>
      <c r="E42" s="18">
        <f t="shared" si="2"/>
        <v>0</v>
      </c>
      <c r="F42" s="18">
        <f t="shared" si="2"/>
        <v>0</v>
      </c>
      <c r="G42" s="18"/>
      <c r="H42" s="8"/>
      <c r="J42" s="8"/>
      <c r="K42" s="24">
        <f>SUM(B42:F42)*$B$13/VLOOKUP($A42,FREDconnect!$A$8:$B$86,2)</f>
        <v>244.02999162157619</v>
      </c>
    </row>
    <row r="43" spans="1:11">
      <c r="A43" s="4">
        <v>39142</v>
      </c>
      <c r="B43" s="18">
        <f t="shared" si="2"/>
        <v>223.45549412248121</v>
      </c>
      <c r="C43" s="18">
        <f t="shared" si="2"/>
        <v>6.2445028514500809</v>
      </c>
      <c r="D43" s="18">
        <f t="shared" si="2"/>
        <v>0</v>
      </c>
      <c r="E43" s="18">
        <f t="shared" si="2"/>
        <v>0</v>
      </c>
      <c r="F43" s="18">
        <f t="shared" si="2"/>
        <v>0</v>
      </c>
      <c r="G43" s="18"/>
      <c r="H43" s="8"/>
      <c r="J43" s="8"/>
      <c r="K43" s="24">
        <f>SUM(B43:F43)*$B$13/VLOOKUP($A43,FREDconnect!$A$8:$B$86,2)</f>
        <v>243.0810392067784</v>
      </c>
    </row>
    <row r="44" spans="1:11">
      <c r="A44" s="4">
        <v>39173</v>
      </c>
      <c r="B44" s="18">
        <f t="shared" si="2"/>
        <v>223.45549412248121</v>
      </c>
      <c r="C44" s="18">
        <f t="shared" si="2"/>
        <v>6.2445028514500809</v>
      </c>
      <c r="D44" s="18">
        <f t="shared" si="2"/>
        <v>0</v>
      </c>
      <c r="E44" s="18">
        <f t="shared" si="2"/>
        <v>0</v>
      </c>
      <c r="F44" s="18">
        <f t="shared" si="2"/>
        <v>0</v>
      </c>
      <c r="G44" s="18"/>
      <c r="H44" s="8"/>
      <c r="J44" s="8"/>
      <c r="K44" s="24">
        <f>SUM(B44:F44)*$B$13/VLOOKUP($A44,FREDconnect!$A$8:$B$86,2)</f>
        <v>242.53415958683158</v>
      </c>
    </row>
    <row r="45" spans="1:11">
      <c r="A45" s="4">
        <v>39203</v>
      </c>
      <c r="B45" s="18">
        <f t="shared" si="2"/>
        <v>223.45549412248121</v>
      </c>
      <c r="C45" s="18">
        <f t="shared" si="2"/>
        <v>6.2445028514500809</v>
      </c>
      <c r="D45" s="18">
        <f t="shared" si="2"/>
        <v>0</v>
      </c>
      <c r="E45" s="18">
        <f t="shared" si="2"/>
        <v>0</v>
      </c>
      <c r="F45" s="18">
        <f t="shared" si="2"/>
        <v>0</v>
      </c>
      <c r="G45" s="18"/>
      <c r="H45" s="8"/>
      <c r="J45" s="8"/>
      <c r="K45" s="24">
        <f>SUM(B45:F45)*$B$13/VLOOKUP($A45,FREDconnect!$A$8:$B$86,2)</f>
        <v>241.83102169593408</v>
      </c>
    </row>
    <row r="46" spans="1:11">
      <c r="A46" s="4">
        <v>39234</v>
      </c>
      <c r="B46" s="18">
        <f t="shared" si="2"/>
        <v>223.45549412248121</v>
      </c>
      <c r="C46" s="18">
        <f t="shared" si="2"/>
        <v>6.2445028514500809</v>
      </c>
      <c r="D46" s="18">
        <f t="shared" si="2"/>
        <v>0</v>
      </c>
      <c r="E46" s="18">
        <f t="shared" si="2"/>
        <v>0</v>
      </c>
      <c r="F46" s="18">
        <f t="shared" si="2"/>
        <v>0</v>
      </c>
      <c r="G46" s="18"/>
      <c r="H46" s="8"/>
      <c r="J46" s="8"/>
      <c r="K46" s="24">
        <f>SUM(B46:F46)*$B$13/VLOOKUP($A46,FREDconnect!$A$8:$B$86,2)</f>
        <v>241.44774944243719</v>
      </c>
    </row>
    <row r="47" spans="1:11">
      <c r="A47" s="4">
        <v>39264</v>
      </c>
      <c r="B47" s="18">
        <f t="shared" si="2"/>
        <v>223.45549412248121</v>
      </c>
      <c r="C47" s="18">
        <f t="shared" si="2"/>
        <v>6.2445028514500809</v>
      </c>
      <c r="D47" s="18">
        <f t="shared" si="2"/>
        <v>0</v>
      </c>
      <c r="E47" s="18">
        <f t="shared" si="2"/>
        <v>0</v>
      </c>
      <c r="F47" s="18">
        <f t="shared" si="2"/>
        <v>0</v>
      </c>
      <c r="G47" s="18"/>
      <c r="H47" s="8"/>
      <c r="J47" s="8"/>
      <c r="K47" s="24">
        <f>SUM(B47:F47)*$B$13/VLOOKUP($A47,FREDconnect!$A$8:$B$86,2)</f>
        <v>241.03599972050523</v>
      </c>
    </row>
    <row r="48" spans="1:11">
      <c r="A48" s="4">
        <v>39295</v>
      </c>
      <c r="B48" s="18">
        <f t="shared" si="2"/>
        <v>223.45549412248121</v>
      </c>
      <c r="C48" s="18">
        <f t="shared" si="2"/>
        <v>6.2445028514500809</v>
      </c>
      <c r="D48" s="18">
        <f t="shared" si="2"/>
        <v>0</v>
      </c>
      <c r="E48" s="18">
        <f t="shared" si="2"/>
        <v>0</v>
      </c>
      <c r="F48" s="18">
        <f t="shared" si="2"/>
        <v>0</v>
      </c>
      <c r="G48" s="18"/>
      <c r="H48" s="8"/>
      <c r="J48" s="8"/>
      <c r="K48" s="24">
        <f>SUM(B48:F48)*$B$13/VLOOKUP($A48,FREDconnect!$A$8:$B$86,2)</f>
        <v>240.86257118444195</v>
      </c>
    </row>
    <row r="49" spans="1:11">
      <c r="A49" s="4">
        <v>39326</v>
      </c>
      <c r="B49" s="18">
        <f t="shared" ref="B49:F58" si="3">IF($A49&gt;=B$19,IF($A49&lt;=B$21,B$23,0),0)</f>
        <v>223.45549412248121</v>
      </c>
      <c r="C49" s="18">
        <f t="shared" si="3"/>
        <v>6.2445028514500809</v>
      </c>
      <c r="D49" s="18">
        <f t="shared" si="3"/>
        <v>0</v>
      </c>
      <c r="E49" s="18">
        <f t="shared" si="3"/>
        <v>0</v>
      </c>
      <c r="F49" s="18">
        <f t="shared" si="3"/>
        <v>0</v>
      </c>
      <c r="G49" s="18"/>
      <c r="H49" s="8"/>
      <c r="J49" s="8"/>
      <c r="K49" s="24">
        <f>SUM(B49:F49)*$B$13/VLOOKUP($A49,FREDconnect!$A$8:$B$86,2)</f>
        <v>239.9289953271379</v>
      </c>
    </row>
    <row r="50" spans="1:11">
      <c r="A50" s="4">
        <v>39356</v>
      </c>
      <c r="B50" s="18">
        <f t="shared" si="3"/>
        <v>223.45549412248121</v>
      </c>
      <c r="C50" s="18">
        <f t="shared" si="3"/>
        <v>6.2445028514500809</v>
      </c>
      <c r="D50" s="18">
        <f t="shared" si="3"/>
        <v>13.370543791225849</v>
      </c>
      <c r="E50" s="18">
        <f t="shared" si="3"/>
        <v>0</v>
      </c>
      <c r="F50" s="18">
        <f t="shared" si="3"/>
        <v>0</v>
      </c>
      <c r="G50" s="18"/>
      <c r="H50" s="8"/>
      <c r="J50" s="8"/>
      <c r="K50" s="24">
        <f>SUM(B50:F50)*$B$13/VLOOKUP($A50,FREDconnect!$A$8:$B$86,2)</f>
        <v>253.18581230100349</v>
      </c>
    </row>
    <row r="51" spans="1:11">
      <c r="A51" s="4">
        <v>39387</v>
      </c>
      <c r="B51" s="18">
        <f t="shared" si="3"/>
        <v>223.45549412248121</v>
      </c>
      <c r="C51" s="18">
        <f t="shared" si="3"/>
        <v>6.2445028514500809</v>
      </c>
      <c r="D51" s="18">
        <f t="shared" si="3"/>
        <v>13.370543791225849</v>
      </c>
      <c r="E51" s="18">
        <f t="shared" si="3"/>
        <v>0</v>
      </c>
      <c r="F51" s="18">
        <f t="shared" si="3"/>
        <v>0</v>
      </c>
      <c r="G51" s="18"/>
      <c r="H51" s="8"/>
      <c r="J51" s="8"/>
      <c r="K51" s="24">
        <f>SUM(B51:F51)*$B$13/VLOOKUP($A51,FREDconnect!$A$8:$B$86,2)</f>
        <v>251.80995689164584</v>
      </c>
    </row>
    <row r="52" spans="1:11">
      <c r="A52" s="4">
        <v>39417</v>
      </c>
      <c r="B52" s="18">
        <f t="shared" si="3"/>
        <v>223.45549412248121</v>
      </c>
      <c r="C52" s="18">
        <f t="shared" si="3"/>
        <v>6.2445028514500809</v>
      </c>
      <c r="D52" s="18">
        <f t="shared" si="3"/>
        <v>13.370543791225849</v>
      </c>
      <c r="E52" s="18">
        <f t="shared" si="3"/>
        <v>0</v>
      </c>
      <c r="F52" s="18">
        <f t="shared" si="3"/>
        <v>0</v>
      </c>
      <c r="G52" s="18"/>
      <c r="H52" s="8"/>
      <c r="J52" s="8"/>
      <c r="K52" s="24">
        <f>SUM(B52:F52)*$B$13/VLOOKUP($A52,FREDconnect!$A$8:$B$86,2)</f>
        <v>251.03044673119504</v>
      </c>
    </row>
    <row r="53" spans="1:11">
      <c r="A53" s="4">
        <v>39448</v>
      </c>
      <c r="B53" s="18">
        <f t="shared" si="3"/>
        <v>223.45549412248121</v>
      </c>
      <c r="C53" s="18">
        <f t="shared" si="3"/>
        <v>6.2445028514500809</v>
      </c>
      <c r="D53" s="18">
        <f t="shared" si="3"/>
        <v>13.370543791225849</v>
      </c>
      <c r="E53" s="18">
        <f t="shared" si="3"/>
        <v>0</v>
      </c>
      <c r="F53" s="18">
        <f t="shared" si="3"/>
        <v>0</v>
      </c>
      <c r="G53" s="18"/>
      <c r="H53" s="8"/>
      <c r="J53" s="8"/>
      <c r="K53" s="24">
        <f>SUM(B53:F53)*$B$13/VLOOKUP($A53,FREDconnect!$A$8:$B$86,2)</f>
        <v>250.28831927400114</v>
      </c>
    </row>
    <row r="54" spans="1:11">
      <c r="A54" s="4">
        <v>39479</v>
      </c>
      <c r="B54" s="18">
        <f t="shared" si="3"/>
        <v>223.45549412248121</v>
      </c>
      <c r="C54" s="18">
        <f t="shared" si="3"/>
        <v>6.2445028514500809</v>
      </c>
      <c r="D54" s="18">
        <f t="shared" si="3"/>
        <v>13.370543791225849</v>
      </c>
      <c r="E54" s="18">
        <f t="shared" si="3"/>
        <v>0</v>
      </c>
      <c r="F54" s="18">
        <f t="shared" si="3"/>
        <v>0</v>
      </c>
      <c r="G54" s="18"/>
      <c r="H54" s="8"/>
      <c r="J54" s="8"/>
      <c r="K54" s="24">
        <f>SUM(B54:F54)*$B$13/VLOOKUP($A54,FREDconnect!$A$8:$B$86,2)</f>
        <v>249.72880565294653</v>
      </c>
    </row>
    <row r="55" spans="1:11">
      <c r="A55" s="4">
        <v>39508</v>
      </c>
      <c r="B55" s="18">
        <f t="shared" si="3"/>
        <v>223.45549412248121</v>
      </c>
      <c r="C55" s="18">
        <f t="shared" si="3"/>
        <v>6.2445028514500809</v>
      </c>
      <c r="D55" s="18">
        <f t="shared" si="3"/>
        <v>13.370543791225849</v>
      </c>
      <c r="E55" s="18">
        <f t="shared" si="3"/>
        <v>0</v>
      </c>
      <c r="F55" s="18">
        <f t="shared" si="3"/>
        <v>0</v>
      </c>
      <c r="G55" s="18"/>
      <c r="H55" s="8"/>
      <c r="J55" s="8"/>
      <c r="K55" s="24">
        <f>SUM(B55:F55)*$B$13/VLOOKUP($A55,FREDconnect!$A$8:$B$86,2)</f>
        <v>248.85854979504555</v>
      </c>
    </row>
    <row r="56" spans="1:11">
      <c r="A56" s="4">
        <v>39539</v>
      </c>
      <c r="B56" s="18">
        <f t="shared" si="3"/>
        <v>223.45549412248121</v>
      </c>
      <c r="C56" s="18">
        <f t="shared" si="3"/>
        <v>6.2445028514500809</v>
      </c>
      <c r="D56" s="18">
        <f t="shared" si="3"/>
        <v>13.370543791225849</v>
      </c>
      <c r="E56" s="18">
        <f t="shared" si="3"/>
        <v>0</v>
      </c>
      <c r="F56" s="18">
        <f t="shared" si="3"/>
        <v>0</v>
      </c>
      <c r="G56" s="18"/>
      <c r="H56" s="8"/>
      <c r="J56" s="8"/>
      <c r="K56" s="24">
        <f>SUM(B56:F56)*$B$13/VLOOKUP($A56,FREDconnect!$A$8:$B$86,2)</f>
        <v>248.06745985890598</v>
      </c>
    </row>
    <row r="57" spans="1:11">
      <c r="A57" s="4">
        <v>39569</v>
      </c>
      <c r="B57" s="18">
        <f t="shared" si="3"/>
        <v>223.45549412248121</v>
      </c>
      <c r="C57" s="18">
        <f t="shared" si="3"/>
        <v>6.2445028514500809</v>
      </c>
      <c r="D57" s="18">
        <f t="shared" si="3"/>
        <v>13.370543791225849</v>
      </c>
      <c r="E57" s="18">
        <f t="shared" si="3"/>
        <v>0</v>
      </c>
      <c r="F57" s="18">
        <f t="shared" si="3"/>
        <v>0</v>
      </c>
      <c r="G57" s="18"/>
      <c r="H57" s="8"/>
      <c r="J57" s="8"/>
      <c r="K57" s="24">
        <f>SUM(B57:F57)*$B$13/VLOOKUP($A57,FREDconnect!$A$8:$B$86,2)</f>
        <v>247.04766465425919</v>
      </c>
    </row>
    <row r="58" spans="1:11">
      <c r="A58" s="4">
        <v>39600</v>
      </c>
      <c r="B58" s="18">
        <f t="shared" si="3"/>
        <v>223.45549412248121</v>
      </c>
      <c r="C58" s="18">
        <f t="shared" si="3"/>
        <v>6.2445028514500809</v>
      </c>
      <c r="D58" s="18">
        <f t="shared" si="3"/>
        <v>13.370543791225849</v>
      </c>
      <c r="E58" s="18">
        <f t="shared" si="3"/>
        <v>0</v>
      </c>
      <c r="F58" s="18">
        <f t="shared" si="3"/>
        <v>0</v>
      </c>
      <c r="G58" s="18"/>
      <c r="H58" s="8"/>
      <c r="J58" s="8"/>
      <c r="K58" s="24">
        <f>SUM(B58:F58)*$B$13/VLOOKUP($A58,FREDconnect!$A$8:$B$86,2)</f>
        <v>245.53135751050803</v>
      </c>
    </row>
    <row r="59" spans="1:11">
      <c r="A59" s="4">
        <v>39630</v>
      </c>
      <c r="B59" s="18">
        <f t="shared" ref="B59:F68" si="4">IF($A59&gt;=B$19,IF($A59&lt;=B$21,B$23,0),0)</f>
        <v>223.45549412248121</v>
      </c>
      <c r="C59" s="18">
        <f t="shared" si="4"/>
        <v>6.2445028514500809</v>
      </c>
      <c r="D59" s="18">
        <f t="shared" si="4"/>
        <v>13.370543791225849</v>
      </c>
      <c r="E59" s="18">
        <f t="shared" si="4"/>
        <v>0</v>
      </c>
      <c r="F59" s="18">
        <f t="shared" si="4"/>
        <v>0</v>
      </c>
      <c r="G59" s="18"/>
      <c r="H59" s="8"/>
      <c r="J59" s="8"/>
      <c r="K59" s="24">
        <f>SUM(B59:F59)*$B$13/VLOOKUP($A59,FREDconnect!$A$8:$B$86,2)</f>
        <v>244.2283607840269</v>
      </c>
    </row>
    <row r="60" spans="1:11">
      <c r="A60" s="4">
        <v>39661</v>
      </c>
      <c r="B60" s="18">
        <f t="shared" si="4"/>
        <v>223.45549412248121</v>
      </c>
      <c r="C60" s="18">
        <f t="shared" si="4"/>
        <v>6.2445028514500809</v>
      </c>
      <c r="D60" s="18">
        <f t="shared" si="4"/>
        <v>13.370543791225849</v>
      </c>
      <c r="E60" s="18">
        <f t="shared" si="4"/>
        <v>0</v>
      </c>
      <c r="F60" s="18">
        <f t="shared" si="4"/>
        <v>0</v>
      </c>
      <c r="G60" s="18"/>
      <c r="H60" s="8"/>
      <c r="J60" s="8"/>
      <c r="K60" s="24">
        <f>SUM(B60:F60)*$B$13/VLOOKUP($A60,FREDconnect!$A$8:$B$86,2)</f>
        <v>244.43235930587696</v>
      </c>
    </row>
    <row r="61" spans="1:11">
      <c r="A61" s="4">
        <v>39692</v>
      </c>
      <c r="B61" s="18">
        <f t="shared" si="4"/>
        <v>223.45549412248121</v>
      </c>
      <c r="C61" s="18">
        <f t="shared" si="4"/>
        <v>6.2445028514500809</v>
      </c>
      <c r="D61" s="18">
        <f t="shared" si="4"/>
        <v>13.370543791225849</v>
      </c>
      <c r="E61" s="18">
        <f t="shared" si="4"/>
        <v>0</v>
      </c>
      <c r="F61" s="18">
        <f t="shared" si="4"/>
        <v>0</v>
      </c>
      <c r="G61" s="18"/>
      <c r="H61" s="8"/>
      <c r="J61" s="8"/>
      <c r="K61" s="24">
        <f>SUM(B61:F61)*$B$13/VLOOKUP($A61,FREDconnect!$A$8:$B$86,2)</f>
        <v>244.13977194311678</v>
      </c>
    </row>
    <row r="62" spans="1:11">
      <c r="A62" s="4">
        <v>39722</v>
      </c>
      <c r="B62" s="18">
        <f t="shared" si="4"/>
        <v>223.45549412248121</v>
      </c>
      <c r="C62" s="18">
        <f t="shared" si="4"/>
        <v>6.2445028514500809</v>
      </c>
      <c r="D62" s="18">
        <f t="shared" si="4"/>
        <v>13.370543791225849</v>
      </c>
      <c r="E62" s="18">
        <f t="shared" si="4"/>
        <v>28.062950185974824</v>
      </c>
      <c r="F62" s="18">
        <f t="shared" si="4"/>
        <v>0</v>
      </c>
      <c r="G62" s="18"/>
      <c r="H62" s="8"/>
      <c r="J62" s="8"/>
      <c r="K62" s="24">
        <f>SUM(B62:F62)*$B$13/VLOOKUP($A62,FREDconnect!$A$8:$B$86,2)</f>
        <v>273.72863050045538</v>
      </c>
    </row>
    <row r="63" spans="1:11">
      <c r="A63" s="4">
        <v>39753</v>
      </c>
      <c r="B63" s="18">
        <f t="shared" si="4"/>
        <v>223.45549412248121</v>
      </c>
      <c r="C63" s="18">
        <f t="shared" si="4"/>
        <v>6.2445028514500809</v>
      </c>
      <c r="D63" s="18">
        <f t="shared" si="4"/>
        <v>13.370543791225849</v>
      </c>
      <c r="E63" s="18">
        <f t="shared" si="4"/>
        <v>28.062950185974824</v>
      </c>
      <c r="F63" s="18">
        <f t="shared" si="4"/>
        <v>0</v>
      </c>
      <c r="G63" s="18"/>
      <c r="H63" s="8"/>
      <c r="J63" s="8"/>
      <c r="K63" s="24">
        <f>SUM(B63:F63)*$B$13/VLOOKUP($A63,FREDconnect!$A$8:$B$86,2)</f>
        <v>277.04938467830584</v>
      </c>
    </row>
    <row r="64" spans="1:11">
      <c r="A64" s="4">
        <v>39783</v>
      </c>
      <c r="B64" s="18">
        <f t="shared" si="4"/>
        <v>223.45549412248121</v>
      </c>
      <c r="C64" s="18">
        <f t="shared" si="4"/>
        <v>6.2445028514500809</v>
      </c>
      <c r="D64" s="18">
        <f t="shared" si="4"/>
        <v>13.370543791225849</v>
      </c>
      <c r="E64" s="18">
        <f t="shared" si="4"/>
        <v>28.062950185974824</v>
      </c>
      <c r="F64" s="18">
        <f t="shared" si="4"/>
        <v>0</v>
      </c>
      <c r="G64" s="18"/>
      <c r="H64" s="8"/>
      <c r="J64" s="8"/>
      <c r="K64" s="24">
        <f>SUM(B64:F64)*$B$13/VLOOKUP($A64,FREDconnect!$A$8:$B$86,2)</f>
        <v>278.45714810986823</v>
      </c>
    </row>
    <row r="65" spans="1:11">
      <c r="A65" s="4">
        <v>39814</v>
      </c>
      <c r="B65" s="18">
        <f t="shared" si="4"/>
        <v>223.45549412248121</v>
      </c>
      <c r="C65" s="18">
        <f t="shared" si="4"/>
        <v>6.2445028514500809</v>
      </c>
      <c r="D65" s="18">
        <f t="shared" si="4"/>
        <v>13.370543791225849</v>
      </c>
      <c r="E65" s="18">
        <f t="shared" si="4"/>
        <v>28.062950185974824</v>
      </c>
      <c r="F65" s="18">
        <f t="shared" si="4"/>
        <v>0</v>
      </c>
      <c r="G65" s="18"/>
      <c r="H65" s="8"/>
      <c r="J65" s="8"/>
      <c r="K65" s="24">
        <f>SUM(B65:F65)*$B$13/VLOOKUP($A65,FREDconnect!$A$8:$B$86,2)</f>
        <v>278.02662666140463</v>
      </c>
    </row>
    <row r="66" spans="1:11">
      <c r="A66" s="4">
        <v>39845</v>
      </c>
      <c r="B66" s="18">
        <f t="shared" si="4"/>
        <v>223.45549412248121</v>
      </c>
      <c r="C66" s="18">
        <f t="shared" si="4"/>
        <v>6.2445028514500809</v>
      </c>
      <c r="D66" s="18">
        <f t="shared" si="4"/>
        <v>13.370543791225849</v>
      </c>
      <c r="E66" s="18">
        <f t="shared" si="4"/>
        <v>28.062950185974824</v>
      </c>
      <c r="F66" s="18">
        <f t="shared" si="4"/>
        <v>0</v>
      </c>
      <c r="G66" s="18"/>
      <c r="H66" s="8"/>
      <c r="J66" s="8"/>
      <c r="K66" s="24">
        <f>SUM(B66:F66)*$B$13/VLOOKUP($A66,FREDconnect!$A$8:$B$86,2)</f>
        <v>277.20794266017703</v>
      </c>
    </row>
    <row r="67" spans="1:11">
      <c r="A67" s="4">
        <v>39873</v>
      </c>
      <c r="B67" s="18">
        <f t="shared" si="4"/>
        <v>223.45549412248121</v>
      </c>
      <c r="C67" s="18">
        <f t="shared" si="4"/>
        <v>6.2445028514500809</v>
      </c>
      <c r="D67" s="18">
        <f t="shared" si="4"/>
        <v>13.370543791225849</v>
      </c>
      <c r="E67" s="18">
        <f t="shared" si="4"/>
        <v>28.062950185974824</v>
      </c>
      <c r="F67" s="18">
        <f t="shared" si="4"/>
        <v>0</v>
      </c>
      <c r="G67" s="18"/>
      <c r="H67" s="8"/>
      <c r="J67" s="8"/>
      <c r="K67" s="24">
        <f>SUM(B67:F67)*$B$13/VLOOKUP($A67,FREDconnect!$A$8:$B$86,2)</f>
        <v>277.45893705552697</v>
      </c>
    </row>
    <row r="68" spans="1:11">
      <c r="A68" s="4">
        <v>39904</v>
      </c>
      <c r="B68" s="18">
        <f t="shared" si="4"/>
        <v>223.45549412248121</v>
      </c>
      <c r="C68" s="18">
        <f t="shared" si="4"/>
        <v>6.2445028514500809</v>
      </c>
      <c r="D68" s="18">
        <f t="shared" si="4"/>
        <v>13.370543791225849</v>
      </c>
      <c r="E68" s="18">
        <f t="shared" si="4"/>
        <v>28.062950185974824</v>
      </c>
      <c r="F68" s="18">
        <f t="shared" si="4"/>
        <v>44.998703535346785</v>
      </c>
      <c r="G68" s="18"/>
      <c r="H68" s="8"/>
      <c r="J68" s="8"/>
      <c r="K68" s="24">
        <f>SUM(B68:F68)*$B$13/VLOOKUP($A68,FREDconnect!$A$8:$B$86,2)</f>
        <v>322.95543447400786</v>
      </c>
    </row>
    <row r="69" spans="1:11">
      <c r="A69" s="4">
        <v>39934</v>
      </c>
      <c r="B69" s="18">
        <f t="shared" ref="B69:F78" si="5">IF($A69&gt;=B$19,IF($A69&lt;=B$21,B$23,0),0)</f>
        <v>223.45549412248121</v>
      </c>
      <c r="C69" s="18">
        <f t="shared" si="5"/>
        <v>6.2445028514500809</v>
      </c>
      <c r="D69" s="18">
        <f t="shared" si="5"/>
        <v>13.370543791225849</v>
      </c>
      <c r="E69" s="18">
        <f t="shared" si="5"/>
        <v>28.062950185974824</v>
      </c>
      <c r="F69" s="18">
        <f t="shared" si="5"/>
        <v>44.998703535346785</v>
      </c>
      <c r="G69" s="18"/>
      <c r="H69" s="8"/>
      <c r="J69" s="8"/>
      <c r="K69" s="24">
        <f>SUM(B69:F69)*$B$13/VLOOKUP($A69,FREDconnect!$A$8:$B$86,2)</f>
        <v>322.54786154436778</v>
      </c>
    </row>
    <row r="70" spans="1:11">
      <c r="A70" s="4">
        <v>39965</v>
      </c>
      <c r="B70" s="18">
        <f t="shared" si="5"/>
        <v>223.45549412248121</v>
      </c>
      <c r="C70" s="18">
        <f t="shared" si="5"/>
        <v>6.2445028514500809</v>
      </c>
      <c r="D70" s="18">
        <f t="shared" si="5"/>
        <v>13.370543791225849</v>
      </c>
      <c r="E70" s="18">
        <f t="shared" si="5"/>
        <v>28.062950185974824</v>
      </c>
      <c r="F70" s="18">
        <f t="shared" si="5"/>
        <v>44.998703535346785</v>
      </c>
      <c r="G70" s="18"/>
      <c r="H70" s="8"/>
      <c r="J70" s="8"/>
      <c r="K70" s="24">
        <f>SUM(B70:F70)*$B$13/VLOOKUP($A70,FREDconnect!$A$8:$B$86,2)</f>
        <v>320.8454656764859</v>
      </c>
    </row>
    <row r="71" spans="1:11">
      <c r="A71" s="4">
        <v>39995</v>
      </c>
      <c r="B71" s="18">
        <f t="shared" si="5"/>
        <v>223.45549412248121</v>
      </c>
      <c r="C71" s="18">
        <f t="shared" si="5"/>
        <v>6.2445028514500809</v>
      </c>
      <c r="D71" s="18">
        <f t="shared" si="5"/>
        <v>13.370543791225849</v>
      </c>
      <c r="E71" s="18">
        <f t="shared" si="5"/>
        <v>28.062950185974824</v>
      </c>
      <c r="F71" s="18">
        <f t="shared" si="5"/>
        <v>44.998703535346785</v>
      </c>
      <c r="G71" s="18"/>
      <c r="H71" s="8"/>
      <c r="J71" s="8"/>
      <c r="K71" s="24">
        <f>SUM(B71:F71)*$B$13/VLOOKUP($A71,FREDconnect!$A$8:$B$86,2)</f>
        <v>320.56347861531219</v>
      </c>
    </row>
    <row r="72" spans="1:11">
      <c r="A72" s="4">
        <v>40026</v>
      </c>
      <c r="B72" s="18">
        <f t="shared" si="5"/>
        <v>223.45549412248121</v>
      </c>
      <c r="C72" s="18">
        <f t="shared" si="5"/>
        <v>6.2445028514500809</v>
      </c>
      <c r="D72" s="18">
        <f t="shared" si="5"/>
        <v>13.370543791225849</v>
      </c>
      <c r="E72" s="18">
        <f t="shared" si="5"/>
        <v>28.062950185974824</v>
      </c>
      <c r="F72" s="18">
        <f t="shared" si="5"/>
        <v>44.998703535346785</v>
      </c>
      <c r="G72" s="18"/>
      <c r="H72" s="8"/>
      <c r="J72" s="8"/>
      <c r="K72" s="24">
        <f>SUM(B72:F72)*$B$13/VLOOKUP($A72,FREDconnect!$A$8:$B$86,2)</f>
        <v>319.59500005177011</v>
      </c>
    </row>
    <row r="73" spans="1:11">
      <c r="A73" s="4">
        <v>40057</v>
      </c>
      <c r="B73" s="18">
        <f t="shared" si="5"/>
        <v>223.45549412248121</v>
      </c>
      <c r="C73" s="18">
        <f t="shared" si="5"/>
        <v>6.2445028514500809</v>
      </c>
      <c r="D73" s="18">
        <f t="shared" si="5"/>
        <v>13.370543791225849</v>
      </c>
      <c r="E73" s="18">
        <f t="shared" si="5"/>
        <v>28.062950185974824</v>
      </c>
      <c r="F73" s="18">
        <f t="shared" si="5"/>
        <v>44.998703535346785</v>
      </c>
      <c r="G73" s="18"/>
      <c r="H73" s="8"/>
      <c r="J73" s="8"/>
      <c r="K73" s="24">
        <f>SUM(B73:F73)*$B$13/VLOOKUP($A73,FREDconnect!$A$8:$B$86,2)</f>
        <v>319.04171485805864</v>
      </c>
    </row>
    <row r="74" spans="1:11">
      <c r="A74" s="4">
        <v>40087</v>
      </c>
      <c r="B74" s="18">
        <f t="shared" si="5"/>
        <v>223.45549412248121</v>
      </c>
      <c r="C74" s="18">
        <f t="shared" si="5"/>
        <v>6.2445028514500809</v>
      </c>
      <c r="D74" s="18">
        <f t="shared" si="5"/>
        <v>13.370543791225849</v>
      </c>
      <c r="E74" s="18">
        <f t="shared" si="5"/>
        <v>28.062950185974824</v>
      </c>
      <c r="F74" s="18">
        <f t="shared" si="5"/>
        <v>44.998703535346785</v>
      </c>
      <c r="G74" s="18"/>
      <c r="H74" s="8"/>
      <c r="J74" s="8"/>
      <c r="K74" s="24">
        <f>SUM(B74:F74)*$B$13/VLOOKUP($A74,FREDconnect!$A$8:$B$86,2)</f>
        <v>318.02461563175569</v>
      </c>
    </row>
    <row r="75" spans="1:11">
      <c r="A75" s="4">
        <v>40118</v>
      </c>
      <c r="B75" s="18">
        <f t="shared" si="5"/>
        <v>223.45549412248121</v>
      </c>
      <c r="C75" s="18">
        <f t="shared" si="5"/>
        <v>6.2445028514500809</v>
      </c>
      <c r="D75" s="18">
        <f t="shared" si="5"/>
        <v>13.370543791225849</v>
      </c>
      <c r="E75" s="18">
        <f t="shared" si="5"/>
        <v>28.062950185974824</v>
      </c>
      <c r="F75" s="18">
        <f t="shared" si="5"/>
        <v>44.998703535346785</v>
      </c>
      <c r="G75" s="18"/>
      <c r="H75" s="8"/>
      <c r="J75" s="8"/>
      <c r="K75" s="24">
        <f>SUM(B75:F75)*$B$13/VLOOKUP($A75,FREDconnect!$A$8:$B$86,2)</f>
        <v>317.40480261858596</v>
      </c>
    </row>
    <row r="76" spans="1:11">
      <c r="A76" s="4">
        <v>40148</v>
      </c>
      <c r="B76" s="18">
        <f t="shared" si="5"/>
        <v>223.45549412248121</v>
      </c>
      <c r="C76" s="18">
        <f t="shared" si="5"/>
        <v>6.2445028514500809</v>
      </c>
      <c r="D76" s="18">
        <f t="shared" si="5"/>
        <v>13.370543791225849</v>
      </c>
      <c r="E76" s="18">
        <f t="shared" si="5"/>
        <v>28.062950185974824</v>
      </c>
      <c r="F76" s="18">
        <f t="shared" si="5"/>
        <v>44.998703535346785</v>
      </c>
      <c r="G76" s="18"/>
      <c r="H76" s="8"/>
      <c r="J76" s="8"/>
      <c r="K76" s="24">
        <f>SUM(B76:F76)*$B$13/VLOOKUP($A76,FREDconnect!$A$8:$B$86,2)</f>
        <v>317.22076649458177</v>
      </c>
    </row>
    <row r="77" spans="1:11">
      <c r="A77" s="4">
        <v>40179</v>
      </c>
      <c r="B77" s="18">
        <f t="shared" si="5"/>
        <v>223.45549412248121</v>
      </c>
      <c r="C77" s="18">
        <f t="shared" si="5"/>
        <v>6.2445028514500809</v>
      </c>
      <c r="D77" s="18">
        <f t="shared" si="5"/>
        <v>13.370543791225849</v>
      </c>
      <c r="E77" s="18">
        <f t="shared" si="5"/>
        <v>28.062950185974824</v>
      </c>
      <c r="F77" s="18">
        <f t="shared" si="5"/>
        <v>44.998703535346785</v>
      </c>
      <c r="G77" s="18"/>
      <c r="H77" s="8"/>
      <c r="J77" s="8"/>
      <c r="K77" s="24">
        <f>SUM(B77:F77)*$B$13/VLOOKUP($A77,FREDconnect!$A$8:$B$86,2)</f>
        <v>316.43526854584502</v>
      </c>
    </row>
    <row r="78" spans="1:11">
      <c r="A78" s="4">
        <v>40210</v>
      </c>
      <c r="B78" s="18">
        <f t="shared" si="5"/>
        <v>223.45549412248121</v>
      </c>
      <c r="C78" s="18">
        <f t="shared" si="5"/>
        <v>6.2445028514500809</v>
      </c>
      <c r="D78" s="18">
        <f t="shared" si="5"/>
        <v>13.370543791225849</v>
      </c>
      <c r="E78" s="18">
        <f t="shared" si="5"/>
        <v>28.062950185974824</v>
      </c>
      <c r="F78" s="18">
        <f t="shared" si="5"/>
        <v>44.998703535346785</v>
      </c>
      <c r="G78" s="18"/>
      <c r="H78" s="8"/>
      <c r="J78" s="8"/>
      <c r="K78" s="24">
        <f>SUM(B78:F78)*$B$13/VLOOKUP($A78,FREDconnect!$A$8:$B$86,2)</f>
        <v>316.16954143834084</v>
      </c>
    </row>
    <row r="79" spans="1:11">
      <c r="A79" s="4">
        <v>40238</v>
      </c>
      <c r="B79" s="18">
        <f t="shared" ref="B79:F88" si="6">IF($A79&gt;=B$19,IF($A79&lt;=B$21,B$23,0),0)</f>
        <v>223.45549412248121</v>
      </c>
      <c r="C79" s="18">
        <f t="shared" si="6"/>
        <v>6.2445028514500809</v>
      </c>
      <c r="D79" s="18">
        <f t="shared" si="6"/>
        <v>13.370543791225849</v>
      </c>
      <c r="E79" s="18">
        <f t="shared" si="6"/>
        <v>28.062950185974824</v>
      </c>
      <c r="F79" s="18">
        <f t="shared" si="6"/>
        <v>44.998703535346785</v>
      </c>
      <c r="G79" s="18"/>
      <c r="H79" s="8"/>
      <c r="J79" s="8"/>
      <c r="K79" s="24">
        <f>SUM(B79:F79)*$B$13/VLOOKUP($A79,FREDconnect!$A$8:$B$86,2)</f>
        <v>315.67357133159572</v>
      </c>
    </row>
    <row r="80" spans="1:11">
      <c r="A80" s="4">
        <v>40269</v>
      </c>
      <c r="B80" s="18">
        <f t="shared" si="6"/>
        <v>223.45549412248121</v>
      </c>
      <c r="C80" s="18">
        <f t="shared" si="6"/>
        <v>6.2445028514500809</v>
      </c>
      <c r="D80" s="18">
        <f t="shared" si="6"/>
        <v>13.370543791225849</v>
      </c>
      <c r="E80" s="18">
        <f t="shared" si="6"/>
        <v>28.062950185974824</v>
      </c>
      <c r="F80" s="18">
        <f t="shared" si="6"/>
        <v>44.998703535346785</v>
      </c>
      <c r="G80" s="18"/>
      <c r="H80" s="8"/>
      <c r="J80" s="8"/>
      <c r="K80" s="24">
        <f>SUM(B80:F80)*$B$13/VLOOKUP($A80,FREDconnect!$A$8:$B$86,2)</f>
        <v>315.55693125278862</v>
      </c>
    </row>
    <row r="81" spans="1:11">
      <c r="A81" s="4">
        <v>40299</v>
      </c>
      <c r="B81" s="18">
        <f t="shared" si="6"/>
        <v>223.45549412248121</v>
      </c>
      <c r="C81" s="18">
        <f t="shared" si="6"/>
        <v>6.2445028514500809</v>
      </c>
      <c r="D81" s="18">
        <f t="shared" si="6"/>
        <v>13.370543791225849</v>
      </c>
      <c r="E81" s="18">
        <f t="shared" si="6"/>
        <v>28.062950185974824</v>
      </c>
      <c r="F81" s="18">
        <f t="shared" si="6"/>
        <v>44.998703535346785</v>
      </c>
      <c r="G81" s="18"/>
      <c r="H81" s="8"/>
      <c r="J81" s="8"/>
      <c r="K81" s="24">
        <f>SUM(B81:F81)*$B$13/VLOOKUP($A81,FREDconnect!$A$8:$B$86,2)</f>
        <v>315.71626607822776</v>
      </c>
    </row>
    <row r="82" spans="1:11">
      <c r="A82" s="4">
        <v>40330</v>
      </c>
      <c r="B82" s="18">
        <f t="shared" si="6"/>
        <v>223.45549412248121</v>
      </c>
      <c r="C82" s="18">
        <f t="shared" si="6"/>
        <v>6.2445028514500809</v>
      </c>
      <c r="D82" s="18">
        <f t="shared" si="6"/>
        <v>13.370543791225849</v>
      </c>
      <c r="E82" s="18">
        <f t="shared" si="6"/>
        <v>28.062950185974824</v>
      </c>
      <c r="F82" s="18">
        <f t="shared" si="6"/>
        <v>44.998703535346785</v>
      </c>
      <c r="G82" s="18"/>
      <c r="H82" s="8"/>
      <c r="J82" s="8"/>
      <c r="K82" s="24">
        <f>SUM(B82:F82)*$B$13/VLOOKUP($A82,FREDconnect!$A$8:$B$86,2)</f>
        <v>316.22950531647427</v>
      </c>
    </row>
    <row r="83" spans="1:11">
      <c r="A83" s="4">
        <v>40360</v>
      </c>
      <c r="B83" s="18">
        <f t="shared" si="6"/>
        <v>223.45549412248121</v>
      </c>
      <c r="C83" s="18">
        <f t="shared" si="6"/>
        <v>6.2445028514500809</v>
      </c>
      <c r="D83" s="18">
        <f t="shared" si="6"/>
        <v>13.370543791225849</v>
      </c>
      <c r="E83" s="18">
        <f t="shared" si="6"/>
        <v>28.062950185974824</v>
      </c>
      <c r="F83" s="18">
        <f t="shared" si="6"/>
        <v>44.998703535346785</v>
      </c>
      <c r="G83" s="18"/>
      <c r="H83" s="8"/>
      <c r="J83" s="8"/>
      <c r="K83" s="24">
        <f>SUM(B83:F83)*$B$13/VLOOKUP($A83,FREDconnect!$A$8:$B$86,2)</f>
        <v>315.52280899735013</v>
      </c>
    </row>
    <row r="84" spans="1:11">
      <c r="A84" s="4">
        <v>40391</v>
      </c>
      <c r="B84" s="18">
        <f t="shared" si="6"/>
        <v>223.45549412248121</v>
      </c>
      <c r="C84" s="18">
        <f t="shared" si="6"/>
        <v>6.2445028514500809</v>
      </c>
      <c r="D84" s="18">
        <f t="shared" si="6"/>
        <v>13.370543791225849</v>
      </c>
      <c r="E84" s="18">
        <f t="shared" si="6"/>
        <v>28.062950185974824</v>
      </c>
      <c r="F84" s="18">
        <f t="shared" si="6"/>
        <v>44.998703535346785</v>
      </c>
      <c r="G84" s="18"/>
      <c r="H84" s="8"/>
      <c r="J84" s="8"/>
      <c r="K84" s="24">
        <f>SUM(B84:F84)*$B$13/VLOOKUP($A84,FREDconnect!$A$8:$B$86,2)</f>
        <v>315.01469331166885</v>
      </c>
    </row>
    <row r="85" spans="1:11">
      <c r="A85" s="4">
        <v>40422</v>
      </c>
      <c r="B85" s="18">
        <f t="shared" si="6"/>
        <v>223.45549412248121</v>
      </c>
      <c r="C85" s="18">
        <f t="shared" si="6"/>
        <v>6.2445028514500809</v>
      </c>
      <c r="D85" s="18">
        <f t="shared" si="6"/>
        <v>13.370543791225849</v>
      </c>
      <c r="E85" s="18">
        <f t="shared" si="6"/>
        <v>28.062950185974824</v>
      </c>
      <c r="F85" s="18">
        <f t="shared" si="6"/>
        <v>44.998703535346785</v>
      </c>
      <c r="G85" s="18"/>
      <c r="H85" s="8"/>
      <c r="J85" s="8"/>
      <c r="K85" s="24">
        <f>SUM(B85:F85)*$B$13/VLOOKUP($A85,FREDconnect!$A$8:$B$86,2)</f>
        <v>314.65235040727464</v>
      </c>
    </row>
    <row r="86" spans="1:11">
      <c r="A86" s="4">
        <v>40452</v>
      </c>
      <c r="B86" s="18">
        <f t="shared" si="6"/>
        <v>223.45549412248121</v>
      </c>
      <c r="C86" s="18">
        <f t="shared" si="6"/>
        <v>6.2445028514500809</v>
      </c>
      <c r="D86" s="18">
        <f t="shared" si="6"/>
        <v>13.370543791225849</v>
      </c>
      <c r="E86" s="18">
        <f t="shared" si="6"/>
        <v>28.062950185974824</v>
      </c>
      <c r="F86" s="18">
        <f t="shared" si="6"/>
        <v>44.998703535346785</v>
      </c>
      <c r="G86" s="18"/>
      <c r="H86" s="8"/>
      <c r="J86" s="8"/>
      <c r="K86" s="24">
        <f>SUM(B86:F86)*$B$13/VLOOKUP($A86,FREDconnect!$A$8:$B$86,2)</f>
        <v>313.97238397510745</v>
      </c>
    </row>
    <row r="87" spans="1:11">
      <c r="A87" s="4">
        <v>40483</v>
      </c>
      <c r="B87" s="18">
        <f t="shared" si="6"/>
        <v>223.45549412248121</v>
      </c>
      <c r="C87" s="18">
        <f t="shared" si="6"/>
        <v>6.2445028514500809</v>
      </c>
      <c r="D87" s="18">
        <f t="shared" si="6"/>
        <v>13.370543791225849</v>
      </c>
      <c r="E87" s="18">
        <f t="shared" si="6"/>
        <v>28.062950185974824</v>
      </c>
      <c r="F87" s="18">
        <f t="shared" si="6"/>
        <v>44.998703535346785</v>
      </c>
      <c r="G87" s="18"/>
      <c r="H87" s="8"/>
      <c r="J87" s="8"/>
      <c r="K87" s="24">
        <f>SUM(B87:F87)*$B$13/VLOOKUP($A87,FREDconnect!$A$8:$B$86,2)</f>
        <v>313.72764029488604</v>
      </c>
    </row>
    <row r="88" spans="1:11">
      <c r="A88" s="4">
        <v>40513</v>
      </c>
      <c r="B88" s="18">
        <f t="shared" si="6"/>
        <v>223.45549412248121</v>
      </c>
      <c r="C88" s="18">
        <f t="shared" si="6"/>
        <v>6.2445028514500809</v>
      </c>
      <c r="D88" s="18">
        <f t="shared" si="6"/>
        <v>13.370543791225849</v>
      </c>
      <c r="E88" s="18">
        <f t="shared" si="6"/>
        <v>28.062950185974824</v>
      </c>
      <c r="F88" s="18">
        <f t="shared" si="6"/>
        <v>44.998703535346785</v>
      </c>
      <c r="G88" s="18"/>
      <c r="H88" s="8"/>
      <c r="J88" s="8"/>
      <c r="K88" s="24">
        <f>SUM(B88:F88)*$B$13/VLOOKUP($A88,FREDconnect!$A$8:$B$86,2)</f>
        <v>312.942543106757</v>
      </c>
    </row>
    <row r="89" spans="1:11">
      <c r="A89" s="4">
        <v>40544</v>
      </c>
      <c r="B89" s="18">
        <f t="shared" ref="B89:F98" si="7">IF($A89&gt;=B$19,IF($A89&lt;=B$21,B$23,0),0)</f>
        <v>223.45549412248121</v>
      </c>
      <c r="C89" s="18">
        <f t="shared" si="7"/>
        <v>6.2445028514500809</v>
      </c>
      <c r="D89" s="18">
        <f t="shared" si="7"/>
        <v>13.370543791225849</v>
      </c>
      <c r="E89" s="18">
        <f t="shared" si="7"/>
        <v>28.062950185974824</v>
      </c>
      <c r="F89" s="18">
        <f t="shared" si="7"/>
        <v>44.998703535346785</v>
      </c>
      <c r="G89" s="18"/>
      <c r="H89" s="8"/>
      <c r="J89" s="8"/>
      <c r="K89" s="24">
        <f>SUM(B89:F89)*$B$13/VLOOKUP($A89,FREDconnect!$A$8:$B$86,2)</f>
        <v>311.80000005050738</v>
      </c>
    </row>
    <row r="90" spans="1:11">
      <c r="A90" s="4">
        <v>40575</v>
      </c>
      <c r="B90" s="18">
        <f t="shared" si="7"/>
        <v>223.45549412248121</v>
      </c>
      <c r="C90" s="18">
        <f t="shared" si="7"/>
        <v>6.2445028514500809</v>
      </c>
      <c r="D90" s="18">
        <f t="shared" si="7"/>
        <v>13.370543791225849</v>
      </c>
      <c r="E90" s="18">
        <f t="shared" si="7"/>
        <v>28.062950185974824</v>
      </c>
      <c r="F90" s="18">
        <f t="shared" si="7"/>
        <v>44.998703535346785</v>
      </c>
      <c r="G90" s="18"/>
      <c r="H90" s="8"/>
      <c r="J90" s="8"/>
      <c r="K90" s="24">
        <f>SUM(B90:F90)*$B$13/VLOOKUP($A90,FREDconnect!$A$8:$B$86,2)</f>
        <v>310.56106331584817</v>
      </c>
    </row>
    <row r="91" spans="1:11">
      <c r="A91" s="4">
        <v>40603</v>
      </c>
      <c r="B91" s="18">
        <f t="shared" si="7"/>
        <v>223.45549412248121</v>
      </c>
      <c r="C91" s="18">
        <f t="shared" si="7"/>
        <v>6.2445028514500809</v>
      </c>
      <c r="D91" s="18">
        <f t="shared" si="7"/>
        <v>13.370543791225849</v>
      </c>
      <c r="E91" s="18">
        <f t="shared" si="7"/>
        <v>28.062950185974824</v>
      </c>
      <c r="F91" s="18">
        <f t="shared" si="7"/>
        <v>44.998703535346785</v>
      </c>
      <c r="G91" s="18"/>
      <c r="H91" s="8"/>
      <c r="J91" s="8"/>
      <c r="K91" s="24">
        <f>SUM(B91:F91)*$B$13/VLOOKUP($A91,FREDconnect!$A$8:$B$86,2)</f>
        <v>309.33466619849048</v>
      </c>
    </row>
    <row r="92" spans="1:11">
      <c r="A92" s="4">
        <v>40634</v>
      </c>
      <c r="B92" s="18">
        <f t="shared" si="7"/>
        <v>223.45549412248121</v>
      </c>
      <c r="C92" s="18">
        <f t="shared" si="7"/>
        <v>6.2445028514500809</v>
      </c>
      <c r="D92" s="18">
        <f t="shared" si="7"/>
        <v>13.370543791225849</v>
      </c>
      <c r="E92" s="18">
        <f t="shared" si="7"/>
        <v>28.062950185974824</v>
      </c>
      <c r="F92" s="18">
        <f t="shared" si="7"/>
        <v>44.998703535346785</v>
      </c>
      <c r="G92" s="18"/>
      <c r="H92" s="8"/>
      <c r="J92" s="8"/>
      <c r="K92" s="24">
        <f>SUM(B92:F92)*$B$13/VLOOKUP($A92,FREDconnect!$A$8:$B$86,2)</f>
        <v>308.28339677471325</v>
      </c>
    </row>
    <row r="93" spans="1:11">
      <c r="A93" s="4">
        <v>40664</v>
      </c>
      <c r="B93" s="18">
        <f t="shared" si="7"/>
        <v>223.45549412248121</v>
      </c>
      <c r="C93" s="18">
        <f t="shared" si="7"/>
        <v>6.2445028514500809</v>
      </c>
      <c r="D93" s="18">
        <f t="shared" si="7"/>
        <v>13.370543791225849</v>
      </c>
      <c r="E93" s="18">
        <f t="shared" si="7"/>
        <v>28.062950185974824</v>
      </c>
      <c r="F93" s="18">
        <f t="shared" si="7"/>
        <v>44.998703535346785</v>
      </c>
      <c r="G93" s="18"/>
      <c r="H93" s="8"/>
      <c r="J93" s="8"/>
      <c r="K93" s="24">
        <f>SUM(B93:F93)*$B$13/VLOOKUP($A93,FREDconnect!$A$8:$B$86,2)</f>
        <v>307.74150295018399</v>
      </c>
    </row>
    <row r="94" spans="1:11">
      <c r="A94" s="4">
        <v>40695</v>
      </c>
      <c r="B94" s="18">
        <f t="shared" si="7"/>
        <v>223.45549412248121</v>
      </c>
      <c r="C94" s="18">
        <f t="shared" si="7"/>
        <v>6.2445028514500809</v>
      </c>
      <c r="D94" s="18">
        <f t="shared" si="7"/>
        <v>13.370543791225849</v>
      </c>
      <c r="E94" s="18">
        <f t="shared" si="7"/>
        <v>28.062950185974824</v>
      </c>
      <c r="F94" s="18">
        <f t="shared" si="7"/>
        <v>44.998703535346785</v>
      </c>
      <c r="G94" s="18"/>
      <c r="H94" s="8"/>
      <c r="J94" s="8"/>
      <c r="K94" s="24">
        <f>SUM(B94:F94)*$B$13/VLOOKUP($A94,FREDconnect!$A$8:$B$86,2)</f>
        <v>308.12876268884196</v>
      </c>
    </row>
    <row r="95" spans="1:11">
      <c r="A95" s="4">
        <v>40725</v>
      </c>
      <c r="B95" s="18">
        <f t="shared" si="7"/>
        <v>223.45549412248121</v>
      </c>
      <c r="C95" s="18">
        <f t="shared" si="7"/>
        <v>6.2445028514500809</v>
      </c>
      <c r="D95" s="18">
        <f t="shared" si="7"/>
        <v>13.370543791225849</v>
      </c>
      <c r="E95" s="18">
        <f t="shared" si="7"/>
        <v>28.062950185974824</v>
      </c>
      <c r="F95" s="18">
        <f t="shared" si="7"/>
        <v>44.998703535346785</v>
      </c>
      <c r="G95" s="18"/>
      <c r="H95" s="8"/>
      <c r="J95" s="8"/>
      <c r="K95" s="24">
        <f>SUM(B95:F95)*$B$13/VLOOKUP($A95,FREDconnect!$A$8:$B$86,2)</f>
        <v>307.00219374745234</v>
      </c>
    </row>
    <row r="96" spans="1:11">
      <c r="A96" s="4">
        <v>40756</v>
      </c>
      <c r="B96" s="18">
        <f t="shared" si="7"/>
        <v>223.45549412248121</v>
      </c>
      <c r="C96" s="18">
        <f t="shared" si="7"/>
        <v>6.2445028514500809</v>
      </c>
      <c r="D96" s="18">
        <f t="shared" si="7"/>
        <v>13.370543791225849</v>
      </c>
      <c r="E96" s="18">
        <f t="shared" si="7"/>
        <v>28.062950185974824</v>
      </c>
      <c r="F96" s="18">
        <f t="shared" si="7"/>
        <v>44.998703535346785</v>
      </c>
      <c r="G96" s="18"/>
      <c r="H96" s="8"/>
      <c r="J96" s="8"/>
      <c r="K96" s="24">
        <f>SUM(B96:F96)*$B$13/VLOOKUP($A96,FREDconnect!$A$8:$B$86,2)</f>
        <v>306.17002033569946</v>
      </c>
    </row>
    <row r="97" spans="1:11">
      <c r="A97" s="4">
        <v>40787</v>
      </c>
      <c r="B97" s="18">
        <f t="shared" si="7"/>
        <v>223.45549412248121</v>
      </c>
      <c r="C97" s="18">
        <f t="shared" si="7"/>
        <v>6.2445028514500809</v>
      </c>
      <c r="D97" s="18">
        <f t="shared" si="7"/>
        <v>13.370543791225849</v>
      </c>
      <c r="E97" s="18">
        <f t="shared" si="7"/>
        <v>28.062950185974824</v>
      </c>
      <c r="F97" s="18">
        <f t="shared" si="7"/>
        <v>44.998703535346785</v>
      </c>
      <c r="G97" s="18"/>
      <c r="H97" s="8"/>
      <c r="J97" s="8"/>
      <c r="K97" s="24">
        <f>SUM(B97:F97)*$B$13/VLOOKUP($A97,FREDconnect!$A$8:$B$86,2)</f>
        <v>305.66220477392261</v>
      </c>
    </row>
    <row r="98" spans="1:11">
      <c r="A98" s="4">
        <v>40817</v>
      </c>
      <c r="B98" s="18">
        <f t="shared" si="7"/>
        <v>223.45549412248121</v>
      </c>
      <c r="C98" s="18">
        <f t="shared" si="7"/>
        <v>6.2445028514500809</v>
      </c>
      <c r="D98" s="18">
        <f t="shared" si="7"/>
        <v>13.370543791225849</v>
      </c>
      <c r="E98" s="18">
        <f t="shared" si="7"/>
        <v>28.062950185974824</v>
      </c>
      <c r="F98" s="18">
        <f t="shared" si="7"/>
        <v>44.998703535346785</v>
      </c>
      <c r="G98" s="18"/>
      <c r="H98" s="8"/>
      <c r="J98" s="8"/>
      <c r="K98" s="24">
        <f>SUM(B98:F98)*$B$13/VLOOKUP($A98,FREDconnect!$A$8:$B$86,2)</f>
        <v>305.63819213595951</v>
      </c>
    </row>
    <row r="99" spans="1:11">
      <c r="A99" s="4">
        <v>40848</v>
      </c>
      <c r="B99" s="18">
        <f t="shared" ref="B99:F108" si="8">IF($A99&gt;=B$19,IF($A99&lt;=B$21,B$23,0),0)</f>
        <v>223.45549412248121</v>
      </c>
      <c r="C99" s="18">
        <f t="shared" si="8"/>
        <v>6.2445028514500809</v>
      </c>
      <c r="D99" s="18">
        <f t="shared" si="8"/>
        <v>13.370543791225849</v>
      </c>
      <c r="E99" s="18">
        <f t="shared" si="8"/>
        <v>28.062950185974824</v>
      </c>
      <c r="F99" s="18">
        <f t="shared" si="8"/>
        <v>44.998703535346785</v>
      </c>
      <c r="G99" s="18"/>
      <c r="H99" s="8"/>
      <c r="J99" s="8"/>
      <c r="K99" s="24">
        <f>SUM(B99:F99)*$B$13/VLOOKUP($A99,FREDconnect!$A$8:$B$86,2)</f>
        <v>305.36897549075502</v>
      </c>
    </row>
    <row r="100" spans="1:11">
      <c r="A100" s="4">
        <v>40878</v>
      </c>
      <c r="B100" s="18">
        <f t="shared" si="8"/>
        <v>223.45549412248121</v>
      </c>
      <c r="C100" s="18">
        <f t="shared" si="8"/>
        <v>6.2445028514500809</v>
      </c>
      <c r="D100" s="18">
        <f t="shared" si="8"/>
        <v>13.370543791225849</v>
      </c>
      <c r="E100" s="18">
        <f t="shared" si="8"/>
        <v>28.062950185974824</v>
      </c>
      <c r="F100" s="18">
        <f t="shared" si="8"/>
        <v>44.998703535346785</v>
      </c>
      <c r="G100" s="18"/>
      <c r="H100" s="8"/>
      <c r="J100" s="8"/>
      <c r="K100" s="24">
        <f>SUM(B100:F100)*$B$13/VLOOKUP($A100,FREDconnect!$A$8:$B$86,2)</f>
        <v>305.16138995025301</v>
      </c>
    </row>
    <row r="101" spans="1:11">
      <c r="A101" s="4">
        <v>40909</v>
      </c>
      <c r="B101" s="18">
        <f t="shared" si="8"/>
        <v>223.45549412248121</v>
      </c>
      <c r="C101" s="18">
        <f t="shared" si="8"/>
        <v>6.2445028514500809</v>
      </c>
      <c r="D101" s="18">
        <f t="shared" si="8"/>
        <v>13.370543791225849</v>
      </c>
      <c r="E101" s="18">
        <f t="shared" si="8"/>
        <v>28.062950185974824</v>
      </c>
      <c r="F101" s="18">
        <f t="shared" si="8"/>
        <v>44.998703535346785</v>
      </c>
      <c r="G101" s="18"/>
      <c r="H101" s="8"/>
      <c r="J101" s="8"/>
      <c r="K101" s="24">
        <f>SUM(B101:F101)*$B$13/VLOOKUP($A101,FREDconnect!$A$8:$B$86,2)</f>
        <v>304.47411940480458</v>
      </c>
    </row>
    <row r="102" spans="1:11">
      <c r="A102" s="4">
        <v>40940</v>
      </c>
      <c r="B102" s="18">
        <f t="shared" si="8"/>
        <v>223.45549412248121</v>
      </c>
      <c r="C102" s="18">
        <f t="shared" si="8"/>
        <v>6.2445028514500809</v>
      </c>
      <c r="D102" s="18">
        <f t="shared" si="8"/>
        <v>13.370543791225849</v>
      </c>
      <c r="E102" s="18">
        <f t="shared" si="8"/>
        <v>28.062950185974824</v>
      </c>
      <c r="F102" s="18">
        <f t="shared" si="8"/>
        <v>44.998703535346785</v>
      </c>
      <c r="G102" s="18"/>
      <c r="H102" s="8"/>
      <c r="J102" s="8"/>
      <c r="K102" s="24">
        <f>SUM(B102:F102)*$B$13/VLOOKUP($A102,FREDconnect!$A$8:$B$86,2)</f>
        <v>303.52922793775895</v>
      </c>
    </row>
    <row r="103" spans="1:11">
      <c r="A103" s="4">
        <v>40969</v>
      </c>
      <c r="B103" s="18">
        <f t="shared" si="8"/>
        <v>223.45549412248121</v>
      </c>
      <c r="C103" s="18">
        <f t="shared" si="8"/>
        <v>6.2445028514500809</v>
      </c>
      <c r="D103" s="18">
        <f t="shared" si="8"/>
        <v>13.370543791225849</v>
      </c>
      <c r="E103" s="18">
        <f t="shared" si="8"/>
        <v>28.062950185974824</v>
      </c>
      <c r="F103" s="18">
        <f t="shared" si="8"/>
        <v>44.998703535346785</v>
      </c>
      <c r="G103" s="18"/>
      <c r="H103" s="8"/>
      <c r="J103" s="8"/>
      <c r="K103" s="24">
        <f>SUM(B103:F103)*$B$13/VLOOKUP($A103,FREDconnect!$A$8:$B$86,2)</f>
        <v>303.52922793775895</v>
      </c>
    </row>
    <row r="104" spans="1:11">
      <c r="A104" s="4">
        <v>41000</v>
      </c>
      <c r="B104" s="18">
        <f t="shared" si="8"/>
        <v>223.45549412248121</v>
      </c>
      <c r="C104" s="18">
        <f t="shared" si="8"/>
        <v>6.2445028514500809</v>
      </c>
      <c r="D104" s="18">
        <f t="shared" si="8"/>
        <v>13.370543791225849</v>
      </c>
      <c r="E104" s="18">
        <f t="shared" si="8"/>
        <v>28.062950185974824</v>
      </c>
      <c r="F104" s="18">
        <f t="shared" si="8"/>
        <v>44.998703535346785</v>
      </c>
      <c r="G104" s="18"/>
      <c r="H104" s="8"/>
      <c r="J104" s="8"/>
      <c r="K104" s="24">
        <f>SUM(B104:F104)*$B$13/VLOOKUP($A104,FREDconnect!$A$8:$B$86,2)</f>
        <v>303.52922793775895</v>
      </c>
    </row>
    <row r="105" spans="1:11">
      <c r="A105" s="4">
        <v>41030</v>
      </c>
      <c r="B105" s="18">
        <f t="shared" si="8"/>
        <v>223.45549412248121</v>
      </c>
      <c r="C105" s="18">
        <f t="shared" si="8"/>
        <v>6.2445028514500809</v>
      </c>
      <c r="D105" s="18">
        <f t="shared" si="8"/>
        <v>13.370543791225849</v>
      </c>
      <c r="E105" s="18">
        <f t="shared" si="8"/>
        <v>28.062950185974824</v>
      </c>
      <c r="F105" s="18">
        <f t="shared" si="8"/>
        <v>44.998703535346785</v>
      </c>
      <c r="G105" s="18"/>
      <c r="H105" s="8"/>
      <c r="J105" s="8"/>
      <c r="K105" s="24">
        <f>SUM(B105:F105)*$B$13/VLOOKUP($A105,FREDconnect!$A$8:$B$86,2)</f>
        <v>303.52922793775895</v>
      </c>
    </row>
    <row r="106" spans="1:11">
      <c r="A106" s="4">
        <v>41061</v>
      </c>
      <c r="B106" s="18">
        <f t="shared" si="8"/>
        <v>223.45549412248121</v>
      </c>
      <c r="C106" s="18">
        <f t="shared" si="8"/>
        <v>6.2445028514500809</v>
      </c>
      <c r="D106" s="18">
        <f t="shared" si="8"/>
        <v>13.370543791225849</v>
      </c>
      <c r="E106" s="18">
        <f t="shared" si="8"/>
        <v>28.062950185974824</v>
      </c>
      <c r="F106" s="18">
        <f t="shared" si="8"/>
        <v>44.998703535346785</v>
      </c>
      <c r="G106" s="18"/>
      <c r="H106" s="8"/>
      <c r="J106" s="8"/>
      <c r="K106" s="24">
        <f>SUM(B106:F106)*$B$13/VLOOKUP($A106,FREDconnect!$A$8:$B$86,2)</f>
        <v>303.52922793775895</v>
      </c>
    </row>
    <row r="107" spans="1:11">
      <c r="A107" s="4">
        <v>41091</v>
      </c>
      <c r="B107" s="18">
        <f t="shared" si="8"/>
        <v>223.45549412248121</v>
      </c>
      <c r="C107" s="18">
        <f t="shared" si="8"/>
        <v>6.2445028514500809</v>
      </c>
      <c r="D107" s="18">
        <f t="shared" si="8"/>
        <v>13.370543791225849</v>
      </c>
      <c r="E107" s="18">
        <f t="shared" si="8"/>
        <v>28.062950185974824</v>
      </c>
      <c r="F107" s="18">
        <f t="shared" si="8"/>
        <v>44.998703535346785</v>
      </c>
      <c r="G107" s="18"/>
      <c r="H107" s="8"/>
      <c r="J107" s="8"/>
      <c r="K107" s="24">
        <f>SUM(B107:F107)*$B$13/VLOOKUP($A107,FREDconnect!$A$8:$B$86,2)</f>
        <v>303.52922793775895</v>
      </c>
    </row>
    <row r="108" spans="1:11">
      <c r="A108" s="4">
        <v>41122</v>
      </c>
      <c r="B108" s="18">
        <f t="shared" si="8"/>
        <v>223.45549412248121</v>
      </c>
      <c r="C108" s="18">
        <f t="shared" si="8"/>
        <v>6.2445028514500809</v>
      </c>
      <c r="D108" s="18">
        <f t="shared" si="8"/>
        <v>13.370543791225849</v>
      </c>
      <c r="E108" s="18">
        <f t="shared" si="8"/>
        <v>28.062950185974824</v>
      </c>
      <c r="F108" s="18">
        <f t="shared" si="8"/>
        <v>44.998703535346785</v>
      </c>
      <c r="G108" s="18"/>
      <c r="H108" s="8"/>
      <c r="J108" s="8"/>
      <c r="K108" s="24">
        <f>SUM(B108:F108)*$B$13/VLOOKUP($A108,FREDconnect!$A$8:$B$86,2)</f>
        <v>303.52922793775895</v>
      </c>
    </row>
    <row r="109" spans="1:11">
      <c r="A109" s="4">
        <v>41153</v>
      </c>
      <c r="B109" s="18">
        <f t="shared" ref="B109:F118" si="9">IF($A109&gt;=B$19,IF($A109&lt;=B$21,B$23,0),0)</f>
        <v>223.45549412248121</v>
      </c>
      <c r="C109" s="18">
        <f t="shared" si="9"/>
        <v>6.2445028514500809</v>
      </c>
      <c r="D109" s="18">
        <f t="shared" si="9"/>
        <v>13.370543791225849</v>
      </c>
      <c r="E109" s="18">
        <f t="shared" si="9"/>
        <v>28.062950185974824</v>
      </c>
      <c r="F109" s="18">
        <f t="shared" si="9"/>
        <v>44.998703535346785</v>
      </c>
      <c r="G109" s="18"/>
      <c r="H109" s="8"/>
      <c r="J109" s="8"/>
      <c r="K109" s="24">
        <f>SUM(B109:F109)*$B$13/VLOOKUP($A109,FREDconnect!$A$8:$B$86,2)</f>
        <v>303.52922793775895</v>
      </c>
    </row>
    <row r="110" spans="1:11">
      <c r="A110" s="4">
        <v>41183</v>
      </c>
      <c r="B110" s="18">
        <f t="shared" si="9"/>
        <v>223.45549412248121</v>
      </c>
      <c r="C110" s="18">
        <f t="shared" si="9"/>
        <v>6.2445028514500809</v>
      </c>
      <c r="D110" s="18">
        <f t="shared" si="9"/>
        <v>13.370543791225849</v>
      </c>
      <c r="E110" s="18">
        <f t="shared" si="9"/>
        <v>28.062950185974824</v>
      </c>
      <c r="F110" s="18">
        <f t="shared" si="9"/>
        <v>44.998703535346785</v>
      </c>
      <c r="G110" s="18"/>
      <c r="H110" s="8"/>
      <c r="J110" s="8"/>
      <c r="K110" s="24">
        <f>SUM(B110:F110)*$B$13/VLOOKUP($A110,FREDconnect!$A$8:$B$86,2)</f>
        <v>303.52922793775895</v>
      </c>
    </row>
    <row r="111" spans="1:11">
      <c r="A111" s="4">
        <v>41214</v>
      </c>
      <c r="B111" s="18">
        <f t="shared" si="9"/>
        <v>223.45549412248121</v>
      </c>
      <c r="C111" s="18">
        <f t="shared" si="9"/>
        <v>6.2445028514500809</v>
      </c>
      <c r="D111" s="18">
        <f t="shared" si="9"/>
        <v>13.370543791225849</v>
      </c>
      <c r="E111" s="18">
        <f t="shared" si="9"/>
        <v>28.062950185974824</v>
      </c>
      <c r="F111" s="18">
        <f t="shared" si="9"/>
        <v>44.998703535346785</v>
      </c>
      <c r="G111" s="18"/>
      <c r="H111" s="8"/>
      <c r="J111" s="8"/>
      <c r="K111" s="24">
        <f>SUM(B111:F111)*$B$13/VLOOKUP($A111,FREDconnect!$A$8:$B$86,2)</f>
        <v>303.52922793775895</v>
      </c>
    </row>
    <row r="112" spans="1:11">
      <c r="A112" s="4">
        <v>41244</v>
      </c>
      <c r="B112" s="18">
        <f t="shared" si="9"/>
        <v>223.45549412248121</v>
      </c>
      <c r="C112" s="18">
        <f t="shared" si="9"/>
        <v>6.2445028514500809</v>
      </c>
      <c r="D112" s="18">
        <f t="shared" si="9"/>
        <v>13.370543791225849</v>
      </c>
      <c r="E112" s="18">
        <f t="shared" si="9"/>
        <v>28.062950185974824</v>
      </c>
      <c r="F112" s="18">
        <f t="shared" si="9"/>
        <v>44.998703535346785</v>
      </c>
      <c r="G112" s="18"/>
      <c r="H112" s="8"/>
      <c r="J112" s="8"/>
      <c r="K112" s="24">
        <f>SUM(B112:F112)*$B$13/VLOOKUP($A112,FREDconnect!$A$8:$B$86,2)</f>
        <v>303.52922793775895</v>
      </c>
    </row>
    <row r="113" spans="1:11">
      <c r="A113" s="4">
        <v>41275</v>
      </c>
      <c r="B113" s="18">
        <f t="shared" si="9"/>
        <v>223.45549412248121</v>
      </c>
      <c r="C113" s="18">
        <f t="shared" si="9"/>
        <v>6.2445028514500809</v>
      </c>
      <c r="D113" s="18">
        <f t="shared" si="9"/>
        <v>13.370543791225849</v>
      </c>
      <c r="E113" s="18">
        <f t="shared" si="9"/>
        <v>28.062950185974824</v>
      </c>
      <c r="F113" s="18">
        <f t="shared" si="9"/>
        <v>44.998703535346785</v>
      </c>
      <c r="G113" s="18"/>
      <c r="H113" s="8"/>
      <c r="J113" s="8"/>
      <c r="K113" s="24">
        <f>SUM(B113:F113)*$B$13/VLOOKUP($A113,FREDconnect!$A$8:$B$86,2)</f>
        <v>303.52922793775895</v>
      </c>
    </row>
    <row r="114" spans="1:11">
      <c r="A114" s="4">
        <v>41306</v>
      </c>
      <c r="B114" s="18">
        <f t="shared" si="9"/>
        <v>223.45549412248121</v>
      </c>
      <c r="C114" s="18">
        <f t="shared" si="9"/>
        <v>6.2445028514500809</v>
      </c>
      <c r="D114" s="18">
        <f t="shared" si="9"/>
        <v>13.370543791225849</v>
      </c>
      <c r="E114" s="18">
        <f t="shared" si="9"/>
        <v>28.062950185974824</v>
      </c>
      <c r="F114" s="18">
        <f t="shared" si="9"/>
        <v>44.998703535346785</v>
      </c>
      <c r="G114" s="18"/>
      <c r="H114" s="8"/>
      <c r="J114" s="8"/>
      <c r="K114" s="24">
        <f>SUM(B114:F114)*$B$13/VLOOKUP($A114,FREDconnect!$A$8:$B$86,2)</f>
        <v>303.52922793775895</v>
      </c>
    </row>
    <row r="115" spans="1:11">
      <c r="A115" s="4">
        <v>41334</v>
      </c>
      <c r="B115" s="18">
        <f t="shared" si="9"/>
        <v>223.45549412248121</v>
      </c>
      <c r="C115" s="18">
        <f t="shared" si="9"/>
        <v>6.2445028514500809</v>
      </c>
      <c r="D115" s="18">
        <f t="shared" si="9"/>
        <v>13.370543791225849</v>
      </c>
      <c r="E115" s="18">
        <f t="shared" si="9"/>
        <v>28.062950185974824</v>
      </c>
      <c r="F115" s="18">
        <f t="shared" si="9"/>
        <v>44.998703535346785</v>
      </c>
      <c r="G115" s="18"/>
      <c r="H115" s="8"/>
      <c r="J115" s="8"/>
      <c r="K115" s="24">
        <f>SUM(B115:F115)*$B$13/VLOOKUP($A115,FREDconnect!$A$8:$B$86,2)</f>
        <v>303.52922793775895</v>
      </c>
    </row>
    <row r="116" spans="1:11">
      <c r="A116" s="4">
        <v>41365</v>
      </c>
      <c r="B116" s="18">
        <f t="shared" si="9"/>
        <v>223.45549412248121</v>
      </c>
      <c r="C116" s="18">
        <f t="shared" si="9"/>
        <v>6.2445028514500809</v>
      </c>
      <c r="D116" s="18">
        <f t="shared" si="9"/>
        <v>13.370543791225849</v>
      </c>
      <c r="E116" s="18">
        <f t="shared" si="9"/>
        <v>28.062950185974824</v>
      </c>
      <c r="F116" s="18">
        <f t="shared" si="9"/>
        <v>44.998703535346785</v>
      </c>
      <c r="G116" s="18"/>
      <c r="H116" s="8"/>
      <c r="J116" s="8"/>
      <c r="K116" s="24">
        <f>SUM(B116:F116)*$B$13/VLOOKUP($A116,FREDconnect!$A$8:$B$86,2)</f>
        <v>303.52922793775895</v>
      </c>
    </row>
    <row r="117" spans="1:11">
      <c r="A117" s="4">
        <v>41395</v>
      </c>
      <c r="B117" s="18">
        <f t="shared" si="9"/>
        <v>223.45549412248121</v>
      </c>
      <c r="C117" s="18">
        <f t="shared" si="9"/>
        <v>6.2445028514500809</v>
      </c>
      <c r="D117" s="18">
        <f t="shared" si="9"/>
        <v>13.370543791225849</v>
      </c>
      <c r="E117" s="18">
        <f t="shared" si="9"/>
        <v>28.062950185974824</v>
      </c>
      <c r="F117" s="18">
        <f t="shared" si="9"/>
        <v>44.998703535346785</v>
      </c>
      <c r="G117" s="18"/>
      <c r="H117" s="8"/>
      <c r="J117" s="8"/>
      <c r="K117" s="24">
        <f>SUM(B117:F117)*$B$13/VLOOKUP($A117,FREDconnect!$A$8:$B$86,2)</f>
        <v>303.52922793775895</v>
      </c>
    </row>
    <row r="118" spans="1:11">
      <c r="A118" s="4">
        <v>41426</v>
      </c>
      <c r="B118" s="18">
        <f t="shared" si="9"/>
        <v>223.45549412248121</v>
      </c>
      <c r="C118" s="18">
        <f t="shared" si="9"/>
        <v>6.2445028514500809</v>
      </c>
      <c r="D118" s="18">
        <f t="shared" si="9"/>
        <v>13.370543791225849</v>
      </c>
      <c r="E118" s="18">
        <f t="shared" si="9"/>
        <v>28.062950185974824</v>
      </c>
      <c r="F118" s="18">
        <f t="shared" si="9"/>
        <v>44.998703535346785</v>
      </c>
      <c r="G118" s="18"/>
      <c r="H118" s="8"/>
      <c r="J118" s="8"/>
      <c r="K118" s="24">
        <f>SUM(B118:F118)*$B$13/VLOOKUP($A118,FREDconnect!$A$8:$B$86,2)</f>
        <v>303.52922793775895</v>
      </c>
    </row>
    <row r="119" spans="1:11">
      <c r="A119" s="4">
        <v>41456</v>
      </c>
      <c r="B119" s="18">
        <f t="shared" ref="B119:F128" si="10">IF($A119&gt;=B$19,IF($A119&lt;=B$21,B$23,0),0)</f>
        <v>223.45549412248121</v>
      </c>
      <c r="C119" s="18">
        <f t="shared" si="10"/>
        <v>6.2445028514500809</v>
      </c>
      <c r="D119" s="18">
        <f t="shared" si="10"/>
        <v>13.370543791225849</v>
      </c>
      <c r="E119" s="18">
        <f t="shared" si="10"/>
        <v>28.062950185974824</v>
      </c>
      <c r="F119" s="18">
        <f t="shared" si="10"/>
        <v>44.998703535346785</v>
      </c>
      <c r="G119" s="18"/>
      <c r="H119" s="8"/>
      <c r="J119" s="8"/>
      <c r="K119" s="24">
        <f>SUM(B119:F119)*$B$13/VLOOKUP($A119,FREDconnect!$A$8:$B$86,2)</f>
        <v>303.52922793775895</v>
      </c>
    </row>
    <row r="120" spans="1:11">
      <c r="A120" s="4">
        <v>41487</v>
      </c>
      <c r="B120" s="18">
        <f t="shared" si="10"/>
        <v>223.45549412248121</v>
      </c>
      <c r="C120" s="18">
        <f t="shared" si="10"/>
        <v>6.2445028514500809</v>
      </c>
      <c r="D120" s="18">
        <f t="shared" si="10"/>
        <v>13.370543791225849</v>
      </c>
      <c r="E120" s="18">
        <f t="shared" si="10"/>
        <v>28.062950185974824</v>
      </c>
      <c r="F120" s="18">
        <f t="shared" si="10"/>
        <v>44.998703535346785</v>
      </c>
      <c r="G120" s="18"/>
      <c r="H120" s="8"/>
      <c r="J120" s="8"/>
      <c r="K120" s="24">
        <f>SUM(B120:F120)*$B$13/VLOOKUP($A120,FREDconnect!$A$8:$B$86,2)</f>
        <v>303.52922793775895</v>
      </c>
    </row>
    <row r="121" spans="1:11">
      <c r="A121" s="4">
        <v>41518</v>
      </c>
      <c r="B121" s="18">
        <f t="shared" si="10"/>
        <v>223.45549412248121</v>
      </c>
      <c r="C121" s="18">
        <f t="shared" si="10"/>
        <v>6.2445028514500809</v>
      </c>
      <c r="D121" s="18">
        <f t="shared" si="10"/>
        <v>13.370543791225849</v>
      </c>
      <c r="E121" s="18">
        <f t="shared" si="10"/>
        <v>28.062950185974824</v>
      </c>
      <c r="F121" s="18">
        <f t="shared" si="10"/>
        <v>44.998703535346785</v>
      </c>
      <c r="G121" s="18"/>
      <c r="H121" s="8"/>
      <c r="J121" s="8"/>
      <c r="K121" s="24">
        <f>SUM(B121:F121)*$B$13/VLOOKUP($A121,FREDconnect!$A$8:$B$86,2)</f>
        <v>303.52922793775895</v>
      </c>
    </row>
    <row r="122" spans="1:11">
      <c r="A122" s="4">
        <v>41548</v>
      </c>
      <c r="B122" s="18">
        <f t="shared" si="10"/>
        <v>223.45549412248121</v>
      </c>
      <c r="C122" s="18">
        <f t="shared" si="10"/>
        <v>6.2445028514500809</v>
      </c>
      <c r="D122" s="18">
        <f t="shared" si="10"/>
        <v>13.370543791225849</v>
      </c>
      <c r="E122" s="18">
        <f t="shared" si="10"/>
        <v>28.062950185974824</v>
      </c>
      <c r="F122" s="18">
        <f t="shared" si="10"/>
        <v>44.998703535346785</v>
      </c>
      <c r="G122" s="18"/>
      <c r="H122" s="8"/>
      <c r="J122" s="8"/>
      <c r="K122" s="24">
        <f>SUM(B122:F122)*$B$13/VLOOKUP($A122,FREDconnect!$A$8:$B$86,2)</f>
        <v>303.52922793775895</v>
      </c>
    </row>
    <row r="123" spans="1:11">
      <c r="A123" s="4">
        <v>41579</v>
      </c>
      <c r="B123" s="18">
        <f t="shared" si="10"/>
        <v>223.45549412248121</v>
      </c>
      <c r="C123" s="18">
        <f t="shared" si="10"/>
        <v>6.2445028514500809</v>
      </c>
      <c r="D123" s="18">
        <f t="shared" si="10"/>
        <v>13.370543791225849</v>
      </c>
      <c r="E123" s="18">
        <f t="shared" si="10"/>
        <v>28.062950185974824</v>
      </c>
      <c r="F123" s="18">
        <f t="shared" si="10"/>
        <v>44.998703535346785</v>
      </c>
      <c r="G123" s="18"/>
      <c r="H123" s="8"/>
      <c r="J123" s="8"/>
      <c r="K123" s="24">
        <f>SUM(B123:F123)*$B$13/VLOOKUP($A123,FREDconnect!$A$8:$B$86,2)</f>
        <v>303.52922793775895</v>
      </c>
    </row>
    <row r="124" spans="1:11">
      <c r="A124" s="4">
        <v>41609</v>
      </c>
      <c r="B124" s="18">
        <f t="shared" si="10"/>
        <v>223.45549412248121</v>
      </c>
      <c r="C124" s="18">
        <f t="shared" si="10"/>
        <v>6.2445028514500809</v>
      </c>
      <c r="D124" s="18">
        <f t="shared" si="10"/>
        <v>13.370543791225849</v>
      </c>
      <c r="E124" s="18">
        <f t="shared" si="10"/>
        <v>28.062950185974824</v>
      </c>
      <c r="F124" s="18">
        <f t="shared" si="10"/>
        <v>44.998703535346785</v>
      </c>
      <c r="G124" s="18"/>
      <c r="H124" s="8"/>
      <c r="J124" s="8"/>
      <c r="K124" s="24">
        <f>SUM(B124:F124)*$B$13/VLOOKUP($A124,FREDconnect!$A$8:$B$86,2)</f>
        <v>303.52922793775895</v>
      </c>
    </row>
    <row r="125" spans="1:11">
      <c r="A125" s="4">
        <v>41640</v>
      </c>
      <c r="B125" s="18">
        <f t="shared" si="10"/>
        <v>223.45549412248121</v>
      </c>
      <c r="C125" s="18">
        <f t="shared" si="10"/>
        <v>6.2445028514500809</v>
      </c>
      <c r="D125" s="18">
        <f t="shared" si="10"/>
        <v>13.370543791225849</v>
      </c>
      <c r="E125" s="18">
        <f t="shared" si="10"/>
        <v>28.062950185974824</v>
      </c>
      <c r="F125" s="18">
        <f t="shared" si="10"/>
        <v>44.998703535346785</v>
      </c>
      <c r="G125" s="18"/>
      <c r="H125" s="8"/>
      <c r="J125" s="8"/>
      <c r="K125" s="24">
        <f>SUM(B125:F125)*$B$13/VLOOKUP($A125,FREDconnect!$A$8:$B$86,2)</f>
        <v>303.52922793775895</v>
      </c>
    </row>
    <row r="126" spans="1:11">
      <c r="A126" s="4">
        <v>41671</v>
      </c>
      <c r="B126" s="18">
        <f t="shared" si="10"/>
        <v>223.45549412248121</v>
      </c>
      <c r="C126" s="18">
        <f t="shared" si="10"/>
        <v>6.2445028514500809</v>
      </c>
      <c r="D126" s="18">
        <f t="shared" si="10"/>
        <v>13.370543791225849</v>
      </c>
      <c r="E126" s="18">
        <f t="shared" si="10"/>
        <v>28.062950185974824</v>
      </c>
      <c r="F126" s="18">
        <f t="shared" si="10"/>
        <v>44.998703535346785</v>
      </c>
      <c r="G126" s="18"/>
      <c r="H126" s="8"/>
      <c r="J126" s="8"/>
      <c r="K126" s="24">
        <f>SUM(B126:F126)*$B$13/VLOOKUP($A126,FREDconnect!$A$8:$B$86,2)</f>
        <v>303.52922793775895</v>
      </c>
    </row>
    <row r="127" spans="1:11">
      <c r="A127" s="4">
        <v>41699</v>
      </c>
      <c r="B127" s="18">
        <f t="shared" si="10"/>
        <v>223.45549412248121</v>
      </c>
      <c r="C127" s="18">
        <f t="shared" si="10"/>
        <v>6.2445028514500809</v>
      </c>
      <c r="D127" s="18">
        <f t="shared" si="10"/>
        <v>13.370543791225849</v>
      </c>
      <c r="E127" s="18">
        <f t="shared" si="10"/>
        <v>28.062950185974824</v>
      </c>
      <c r="F127" s="18">
        <f t="shared" si="10"/>
        <v>44.998703535346785</v>
      </c>
      <c r="G127" s="18"/>
      <c r="H127" s="8"/>
      <c r="J127" s="8"/>
      <c r="K127" s="24">
        <f>SUM(B127:F127)*$B$13/VLOOKUP($A127,FREDconnect!$A$8:$B$86,2)</f>
        <v>303.52922793775895</v>
      </c>
    </row>
    <row r="128" spans="1:11">
      <c r="A128" s="4">
        <v>41730</v>
      </c>
      <c r="B128" s="18">
        <f t="shared" si="10"/>
        <v>223.45549412248121</v>
      </c>
      <c r="C128" s="18">
        <f t="shared" si="10"/>
        <v>6.2445028514500809</v>
      </c>
      <c r="D128" s="18">
        <f t="shared" si="10"/>
        <v>13.370543791225849</v>
      </c>
      <c r="E128" s="18">
        <f t="shared" si="10"/>
        <v>28.062950185974824</v>
      </c>
      <c r="F128" s="18">
        <f t="shared" si="10"/>
        <v>44.998703535346785</v>
      </c>
      <c r="G128" s="18"/>
      <c r="H128" s="8"/>
      <c r="J128" s="8"/>
      <c r="K128" s="24">
        <f>SUM(B128:F128)*$B$13/VLOOKUP($A128,FREDconnect!$A$8:$B$86,2)</f>
        <v>303.52922793775895</v>
      </c>
    </row>
    <row r="129" spans="1:11">
      <c r="A129" s="4">
        <v>41760</v>
      </c>
      <c r="B129" s="18">
        <f t="shared" ref="B129:F136" si="11">IF($A129&gt;=B$19,IF($A129&lt;=B$21,B$23,0),0)</f>
        <v>223.45549412248121</v>
      </c>
      <c r="C129" s="18">
        <f t="shared" si="11"/>
        <v>6.2445028514500809</v>
      </c>
      <c r="D129" s="18">
        <f t="shared" si="11"/>
        <v>13.370543791225849</v>
      </c>
      <c r="E129" s="18">
        <f t="shared" si="11"/>
        <v>28.062950185974824</v>
      </c>
      <c r="F129" s="18">
        <f t="shared" si="11"/>
        <v>44.998703535346785</v>
      </c>
      <c r="G129" s="18"/>
      <c r="H129" s="8"/>
      <c r="J129" s="8"/>
      <c r="K129" s="24">
        <f>SUM(B129:F129)*$B$13/VLOOKUP($A129,FREDconnect!$A$8:$B$86,2)</f>
        <v>303.52922793775895</v>
      </c>
    </row>
    <row r="130" spans="1:11">
      <c r="A130" s="4">
        <v>41791</v>
      </c>
      <c r="B130" s="18">
        <f t="shared" si="11"/>
        <v>223.45549412248121</v>
      </c>
      <c r="C130" s="18">
        <f t="shared" si="11"/>
        <v>6.2445028514500809</v>
      </c>
      <c r="D130" s="18">
        <f t="shared" si="11"/>
        <v>13.370543791225849</v>
      </c>
      <c r="E130" s="18">
        <f t="shared" si="11"/>
        <v>28.062950185974824</v>
      </c>
      <c r="F130" s="18">
        <f t="shared" si="11"/>
        <v>44.998703535346785</v>
      </c>
      <c r="G130" s="18"/>
      <c r="H130" s="8"/>
      <c r="J130" s="8"/>
      <c r="K130" s="24">
        <f>SUM(B130:F130)*$B$13/VLOOKUP($A130,FREDconnect!$A$8:$B$86,2)</f>
        <v>303.52922793775895</v>
      </c>
    </row>
    <row r="131" spans="1:11">
      <c r="A131" s="4">
        <v>41821</v>
      </c>
      <c r="B131" s="18">
        <f t="shared" si="11"/>
        <v>223.45549412248121</v>
      </c>
      <c r="C131" s="18">
        <f t="shared" si="11"/>
        <v>6.2445028514500809</v>
      </c>
      <c r="D131" s="18">
        <f t="shared" si="11"/>
        <v>13.370543791225849</v>
      </c>
      <c r="E131" s="18">
        <f t="shared" si="11"/>
        <v>28.062950185974824</v>
      </c>
      <c r="F131" s="18">
        <f t="shared" si="11"/>
        <v>44.998703535346785</v>
      </c>
      <c r="G131" s="18"/>
      <c r="H131" s="8"/>
      <c r="J131" s="8"/>
      <c r="K131" s="24">
        <f>SUM(B131:F131)*$B$13/VLOOKUP($A131,FREDconnect!$A$8:$B$86,2)</f>
        <v>303.52922793775895</v>
      </c>
    </row>
    <row r="132" spans="1:11">
      <c r="A132" s="4">
        <v>41852</v>
      </c>
      <c r="B132" s="18">
        <f t="shared" si="11"/>
        <v>223.45549412248121</v>
      </c>
      <c r="C132" s="18">
        <f t="shared" si="11"/>
        <v>6.2445028514500809</v>
      </c>
      <c r="D132" s="18">
        <f t="shared" si="11"/>
        <v>13.370543791225849</v>
      </c>
      <c r="E132" s="18">
        <f t="shared" si="11"/>
        <v>28.062950185974824</v>
      </c>
      <c r="F132" s="18">
        <f t="shared" si="11"/>
        <v>44.998703535346785</v>
      </c>
      <c r="G132" s="18"/>
      <c r="H132" s="8"/>
      <c r="J132" s="8"/>
      <c r="K132" s="24">
        <f>SUM(B132:F132)*$B$13/VLOOKUP($A132,FREDconnect!$A$8:$B$86,2)</f>
        <v>303.52922793775895</v>
      </c>
    </row>
    <row r="133" spans="1:11">
      <c r="A133" s="4">
        <v>41883</v>
      </c>
      <c r="B133" s="18">
        <f t="shared" si="11"/>
        <v>223.45549412248121</v>
      </c>
      <c r="C133" s="18">
        <f t="shared" si="11"/>
        <v>6.2445028514500809</v>
      </c>
      <c r="D133" s="18">
        <f t="shared" si="11"/>
        <v>13.370543791225849</v>
      </c>
      <c r="E133" s="18">
        <f t="shared" si="11"/>
        <v>28.062950185974824</v>
      </c>
      <c r="F133" s="18">
        <f t="shared" si="11"/>
        <v>44.998703535346785</v>
      </c>
      <c r="G133" s="18"/>
      <c r="H133" s="8"/>
      <c r="J133" s="8"/>
      <c r="K133" s="24">
        <f>SUM(B133:F133)*$B$13/VLOOKUP($A133,FREDconnect!$A$8:$B$86,2)</f>
        <v>303.52922793775895</v>
      </c>
    </row>
    <row r="134" spans="1:11">
      <c r="A134" s="4">
        <v>41913</v>
      </c>
      <c r="B134" s="18">
        <f t="shared" si="11"/>
        <v>223.45549412248121</v>
      </c>
      <c r="C134" s="18">
        <f t="shared" si="11"/>
        <v>6.2445028514500809</v>
      </c>
      <c r="D134" s="18">
        <f t="shared" si="11"/>
        <v>13.370543791225849</v>
      </c>
      <c r="E134" s="18">
        <f t="shared" si="11"/>
        <v>28.062950185974824</v>
      </c>
      <c r="F134" s="18">
        <f t="shared" si="11"/>
        <v>44.998703535346785</v>
      </c>
      <c r="G134" s="18"/>
      <c r="H134" s="8"/>
      <c r="J134" s="8"/>
      <c r="K134" s="24">
        <f>SUM(B134:F134)*$B$13/VLOOKUP($A134,FREDconnect!$A$8:$B$86,2)</f>
        <v>303.52922793775895</v>
      </c>
    </row>
    <row r="135" spans="1:11">
      <c r="A135" s="4">
        <v>41944</v>
      </c>
      <c r="B135" s="18">
        <f t="shared" si="11"/>
        <v>223.45549412248121</v>
      </c>
      <c r="C135" s="18">
        <f t="shared" si="11"/>
        <v>6.2445028514500809</v>
      </c>
      <c r="D135" s="18">
        <f t="shared" si="11"/>
        <v>13.370543791225849</v>
      </c>
      <c r="E135" s="18">
        <f t="shared" si="11"/>
        <v>28.062950185974824</v>
      </c>
      <c r="F135" s="18">
        <f t="shared" si="11"/>
        <v>44.998703535346785</v>
      </c>
      <c r="G135" s="18"/>
      <c r="H135" s="8"/>
      <c r="J135" s="8"/>
      <c r="K135" s="24">
        <f>SUM(B135:F135)*$B$13/VLOOKUP($A135,FREDconnect!$A$8:$B$86,2)</f>
        <v>303.52922793775895</v>
      </c>
    </row>
    <row r="136" spans="1:11">
      <c r="A136" s="4">
        <v>41974</v>
      </c>
      <c r="B136" s="18">
        <f t="shared" si="11"/>
        <v>223.45549412248121</v>
      </c>
      <c r="C136" s="18">
        <f t="shared" si="11"/>
        <v>6.2445028514500809</v>
      </c>
      <c r="D136" s="18">
        <f t="shared" si="11"/>
        <v>13.370543791225849</v>
      </c>
      <c r="E136" s="18">
        <f t="shared" si="11"/>
        <v>28.062950185974824</v>
      </c>
      <c r="F136" s="18">
        <f t="shared" si="11"/>
        <v>44.998703535346785</v>
      </c>
      <c r="G136" s="18"/>
      <c r="H136" s="8"/>
      <c r="J136" s="8"/>
      <c r="K136" s="24">
        <f>SUM(B136:F136)*$B$13/VLOOKUP($A136,FREDconnect!$A$8:$B$86,2)</f>
        <v>303.52922793775895</v>
      </c>
    </row>
    <row r="139" spans="1:11">
      <c r="A139" s="6" t="s">
        <v>129</v>
      </c>
    </row>
    <row r="140" spans="1:11">
      <c r="A140" s="10">
        <v>2007</v>
      </c>
      <c r="K140" s="24">
        <f>AVERAGE(K41:K52)</f>
        <v>244.64072159553098</v>
      </c>
    </row>
    <row r="141" spans="1:11">
      <c r="A141" s="10">
        <v>2008</v>
      </c>
      <c r="K141" s="24">
        <f>AVERAGE(K53:K64)</f>
        <v>254.29648433894303</v>
      </c>
    </row>
    <row r="142" spans="1:11">
      <c r="A142" s="10">
        <v>2009</v>
      </c>
      <c r="K142" s="24">
        <f>AVERAGE(K65:K76)</f>
        <v>309.24105386183624</v>
      </c>
    </row>
    <row r="143" spans="1:11">
      <c r="A143" s="10">
        <v>2010</v>
      </c>
      <c r="K143" s="24">
        <f>AVERAGE(K77:K88)</f>
        <v>315.13445867135971</v>
      </c>
    </row>
    <row r="144" spans="1:11">
      <c r="A144" s="10">
        <v>2011</v>
      </c>
      <c r="K144" s="24">
        <f>AVERAGE(K89:K100)</f>
        <v>307.57103070105228</v>
      </c>
    </row>
  </sheetData>
  <mergeCells count="1">
    <mergeCell ref="B17:F17"/>
  </mergeCells>
  <pageMargins left="0.7" right="0.7" top="0.75" bottom="0.75" header="0.3" footer="0.3"/>
  <pageSetup paperSize="0" orientation="portrait" r:id="rId1"/>
  <legacyDrawing r:id="rId2"/>
</worksheet>
</file>

<file path=xl/worksheets/sheet8.xml><?xml version="1.0" encoding="utf-8"?>
<worksheet xmlns="http://schemas.openxmlformats.org/spreadsheetml/2006/main" xmlns:r="http://schemas.openxmlformats.org/officeDocument/2006/relationships">
  <dimension ref="A1:F15"/>
  <sheetViews>
    <sheetView workbookViewId="0"/>
  </sheetViews>
  <sheetFormatPr defaultRowHeight="15"/>
  <cols>
    <col min="1" max="1" width="54.5703125" bestFit="1" customWidth="1"/>
    <col min="2" max="2" width="9.85546875" bestFit="1" customWidth="1"/>
    <col min="3" max="3" width="10.140625" bestFit="1" customWidth="1"/>
  </cols>
  <sheetData>
    <row r="1" spans="1:6">
      <c r="A1" s="33" t="s">
        <v>127</v>
      </c>
    </row>
    <row r="3" spans="1:6">
      <c r="B3" s="91" t="s">
        <v>100</v>
      </c>
      <c r="C3" s="91"/>
    </row>
    <row r="4" spans="1:6">
      <c r="A4" s="5" t="s">
        <v>33</v>
      </c>
      <c r="B4" s="5">
        <v>2007</v>
      </c>
      <c r="C4" s="5">
        <v>2010</v>
      </c>
      <c r="D4" s="6"/>
      <c r="E4" s="6"/>
    </row>
    <row r="5" spans="1:6">
      <c r="A5" t="s">
        <v>479</v>
      </c>
      <c r="B5" s="7">
        <f>VLOOKUP(B$4,CPSMORG!$A$13:$T$17,2)*1000000</f>
        <v>3785304</v>
      </c>
      <c r="C5" s="7">
        <f>VLOOKUP(C$4,CPSMORG!$A$13:$T$17,2)*1000000</f>
        <v>8585058</v>
      </c>
    </row>
    <row r="6" spans="1:6">
      <c r="A6" t="s">
        <v>480</v>
      </c>
      <c r="B6" s="7"/>
      <c r="C6" s="12">
        <v>4252832</v>
      </c>
    </row>
    <row r="7" spans="1:6">
      <c r="A7" t="s">
        <v>102</v>
      </c>
      <c r="C7" s="24">
        <f>C6/C5</f>
        <v>0.49537603589865087</v>
      </c>
      <c r="F7" s="38" t="s">
        <v>161</v>
      </c>
    </row>
    <row r="8" spans="1:6">
      <c r="A8" t="s">
        <v>154</v>
      </c>
      <c r="B8" s="7">
        <f>VLOOKUP(B$4,CPSMORG!$A$25:$T$29,3)*1000000</f>
        <v>18410640</v>
      </c>
      <c r="C8" s="7">
        <f>VLOOKUP(C$4,CPSMORG!$A$25:$T$29,3)*1000000</f>
        <v>19297130</v>
      </c>
    </row>
    <row r="9" spans="1:6">
      <c r="A9" t="s">
        <v>155</v>
      </c>
      <c r="B9" s="7"/>
      <c r="C9" s="12">
        <v>16081035</v>
      </c>
    </row>
    <row r="10" spans="1:6">
      <c r="A10" t="s">
        <v>481</v>
      </c>
      <c r="B10" s="7"/>
      <c r="C10" s="12">
        <v>3707718</v>
      </c>
    </row>
    <row r="11" spans="1:6">
      <c r="A11" t="s">
        <v>156</v>
      </c>
      <c r="C11" s="12">
        <f>4300560</f>
        <v>4300560</v>
      </c>
    </row>
    <row r="12" spans="1:6">
      <c r="A12" t="s">
        <v>157</v>
      </c>
      <c r="C12" s="24">
        <f>(C9-C10-C11)/C8</f>
        <v>0.41833977384201693</v>
      </c>
      <c r="F12" s="38" t="s">
        <v>162</v>
      </c>
    </row>
    <row r="13" spans="1:6">
      <c r="C13" s="18"/>
    </row>
    <row r="14" spans="1:6">
      <c r="B14" s="91" t="s">
        <v>104</v>
      </c>
      <c r="C14" s="91"/>
    </row>
    <row r="15" spans="1:6">
      <c r="B15" s="5">
        <v>2007</v>
      </c>
      <c r="C15" s="5">
        <v>2010</v>
      </c>
      <c r="D15" s="6"/>
      <c r="E15" s="6"/>
    </row>
  </sheetData>
  <mergeCells count="2">
    <mergeCell ref="B3:C3"/>
    <mergeCell ref="B14:C14"/>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1:M144"/>
  <sheetViews>
    <sheetView workbookViewId="0"/>
  </sheetViews>
  <sheetFormatPr defaultRowHeight="15"/>
  <cols>
    <col min="1" max="1" width="49.140625" bestFit="1" customWidth="1"/>
    <col min="2" max="10" width="9.140625" customWidth="1"/>
  </cols>
  <sheetData>
    <row r="1" spans="1:3">
      <c r="A1" s="1" t="s">
        <v>243</v>
      </c>
    </row>
    <row r="2" spans="1:3">
      <c r="A2" s="1"/>
    </row>
    <row r="3" spans="1:3">
      <c r="A3" t="s">
        <v>1</v>
      </c>
      <c r="B3" t="s">
        <v>238</v>
      </c>
    </row>
    <row r="5" spans="1:3">
      <c r="A5" s="5" t="s">
        <v>33</v>
      </c>
      <c r="B5" s="5"/>
    </row>
    <row r="6" spans="1:3">
      <c r="A6" t="s">
        <v>239</v>
      </c>
      <c r="B6" s="54">
        <v>0.27400000000000002</v>
      </c>
    </row>
    <row r="7" spans="1:3">
      <c r="A7" t="s">
        <v>303</v>
      </c>
      <c r="B7" s="56">
        <f>12938/5337</f>
        <v>2.4242083567547312</v>
      </c>
    </row>
    <row r="8" spans="1:3">
      <c r="A8" t="s">
        <v>314</v>
      </c>
      <c r="B8" s="53">
        <f>MedicaidWeights!$D$25*(1-B7*MedicaidWeights!$D$16)/(1-MedicaidWeights!$D$16)</f>
        <v>597.49671518218076</v>
      </c>
      <c r="C8" s="38" t="s">
        <v>313</v>
      </c>
    </row>
    <row r="9" spans="1:3">
      <c r="A9" t="s">
        <v>308</v>
      </c>
      <c r="B9" s="56">
        <f>14840/5337</f>
        <v>2.7805883455124603</v>
      </c>
    </row>
    <row r="10" spans="1:3">
      <c r="A10" t="s">
        <v>309</v>
      </c>
      <c r="B10" s="62">
        <v>0.14792787299999999</v>
      </c>
    </row>
    <row r="11" spans="1:3">
      <c r="A11" t="s">
        <v>310</v>
      </c>
      <c r="B11" s="53">
        <f>MedicaidWeights!$D$25*(1-B7*MedicaidWeights!$D$16-B9*B10)/(1-MedicaidWeights!$D$16-B10)</f>
        <v>357.99499046158445</v>
      </c>
      <c r="C11" s="38" t="s">
        <v>311</v>
      </c>
    </row>
    <row r="12" spans="1:3">
      <c r="A12" t="s">
        <v>312</v>
      </c>
      <c r="B12" s="7">
        <f>B11*12</f>
        <v>4295.9398855390136</v>
      </c>
    </row>
    <row r="18" spans="1:13">
      <c r="B18" t="s">
        <v>38</v>
      </c>
      <c r="K18" s="16" t="s">
        <v>242</v>
      </c>
      <c r="M18" s="16" t="s">
        <v>244</v>
      </c>
    </row>
    <row r="19" spans="1:13">
      <c r="A19" t="s">
        <v>40</v>
      </c>
      <c r="B19" s="3" t="s">
        <v>240</v>
      </c>
      <c r="K19" s="16"/>
    </row>
    <row r="20" spans="1:13">
      <c r="A20" t="s">
        <v>41</v>
      </c>
      <c r="B20" s="8">
        <f>1/(1+$B$6)</f>
        <v>0.78492935635792782</v>
      </c>
      <c r="K20" s="16"/>
    </row>
    <row r="21" spans="1:13">
      <c r="A21" t="s">
        <v>7</v>
      </c>
      <c r="B21" s="3" t="s">
        <v>241</v>
      </c>
      <c r="K21" s="16"/>
    </row>
    <row r="22" spans="1:13">
      <c r="A22" t="s">
        <v>18</v>
      </c>
      <c r="B22" s="13">
        <v>41640</v>
      </c>
      <c r="K22" s="16"/>
    </row>
    <row r="23" spans="1:13">
      <c r="A23" t="s">
        <v>19</v>
      </c>
      <c r="B23" s="44" t="s">
        <v>245</v>
      </c>
      <c r="K23" s="16"/>
    </row>
    <row r="24" spans="1:13">
      <c r="A24" t="s">
        <v>20</v>
      </c>
      <c r="B24" s="13">
        <v>72867</v>
      </c>
      <c r="K24" s="16"/>
    </row>
    <row r="25" spans="1:13">
      <c r="A25" t="s">
        <v>21</v>
      </c>
      <c r="B25" s="14" t="s">
        <v>23</v>
      </c>
      <c r="K25" s="16"/>
    </row>
    <row r="26" spans="1:13">
      <c r="K26" s="16"/>
    </row>
    <row r="27" spans="1:13">
      <c r="A27" s="2" t="s">
        <v>30</v>
      </c>
      <c r="B27" s="8">
        <f>AVERAGE(B$74:B$85)</f>
        <v>0.78492935635792793</v>
      </c>
      <c r="C27" s="8"/>
      <c r="D27" s="8"/>
      <c r="E27" s="8"/>
      <c r="F27" s="8"/>
      <c r="G27" s="8"/>
      <c r="H27" s="8"/>
      <c r="I27" s="8"/>
      <c r="J27" s="8"/>
      <c r="K27" s="17">
        <f t="shared" ref="K27:M27" si="0">AVERAGE(K$74:K$85)</f>
        <v>0.99999999999999989</v>
      </c>
      <c r="M27" s="24">
        <f t="shared" si="0"/>
        <v>357.99499046158456</v>
      </c>
    </row>
    <row r="28" spans="1:13">
      <c r="K28" s="16"/>
    </row>
    <row r="29" spans="1:13">
      <c r="A29" s="4">
        <v>38718</v>
      </c>
      <c r="B29" s="8">
        <f t="shared" ref="B29:B92" si="1">IF($A29&gt;=B$22,IF($A29&lt;=B$24,1,B$20),B$20)</f>
        <v>0.78492935635792782</v>
      </c>
      <c r="C29" s="8"/>
      <c r="D29" s="8"/>
      <c r="E29" s="8"/>
      <c r="F29" s="8"/>
      <c r="G29" s="8"/>
      <c r="H29" s="8"/>
      <c r="I29" s="8"/>
      <c r="J29" s="8"/>
      <c r="K29" s="17">
        <f>B29/B$27</f>
        <v>0.99999999999999989</v>
      </c>
      <c r="M29" s="24">
        <f>$B$11</f>
        <v>357.99499046158445</v>
      </c>
    </row>
    <row r="30" spans="1:13">
      <c r="A30" s="4">
        <v>38749</v>
      </c>
      <c r="B30" s="8">
        <f t="shared" si="1"/>
        <v>0.78492935635792782</v>
      </c>
      <c r="C30" s="8"/>
      <c r="D30" s="8"/>
      <c r="E30" s="8"/>
      <c r="F30" s="8"/>
      <c r="G30" s="8"/>
      <c r="H30" s="8"/>
      <c r="I30" s="8"/>
      <c r="J30" s="8"/>
      <c r="K30" s="17">
        <f t="shared" ref="K30:K93" si="2">B30/B$27</f>
        <v>0.99999999999999989</v>
      </c>
      <c r="M30" s="24">
        <f t="shared" ref="M30:M93" si="3">$B$11</f>
        <v>357.99499046158445</v>
      </c>
    </row>
    <row r="31" spans="1:13">
      <c r="A31" s="4">
        <v>38777</v>
      </c>
      <c r="B31" s="8">
        <f t="shared" si="1"/>
        <v>0.78492935635792782</v>
      </c>
      <c r="C31" s="8"/>
      <c r="D31" s="8"/>
      <c r="E31" s="8"/>
      <c r="F31" s="8"/>
      <c r="G31" s="8"/>
      <c r="H31" s="8"/>
      <c r="I31" s="8"/>
      <c r="J31" s="8"/>
      <c r="K31" s="17">
        <f t="shared" si="2"/>
        <v>0.99999999999999989</v>
      </c>
      <c r="M31" s="24">
        <f t="shared" si="3"/>
        <v>357.99499046158445</v>
      </c>
    </row>
    <row r="32" spans="1:13">
      <c r="A32" s="4">
        <v>38808</v>
      </c>
      <c r="B32" s="8">
        <f t="shared" si="1"/>
        <v>0.78492935635792782</v>
      </c>
      <c r="C32" s="8"/>
      <c r="D32" s="8"/>
      <c r="E32" s="8"/>
      <c r="F32" s="8"/>
      <c r="G32" s="8"/>
      <c r="H32" s="8"/>
      <c r="I32" s="8"/>
      <c r="J32" s="8"/>
      <c r="K32" s="17">
        <f t="shared" si="2"/>
        <v>0.99999999999999989</v>
      </c>
      <c r="M32" s="24">
        <f t="shared" si="3"/>
        <v>357.99499046158445</v>
      </c>
    </row>
    <row r="33" spans="1:13">
      <c r="A33" s="4">
        <v>38838</v>
      </c>
      <c r="B33" s="8">
        <f t="shared" si="1"/>
        <v>0.78492935635792782</v>
      </c>
      <c r="C33" s="8"/>
      <c r="D33" s="8"/>
      <c r="E33" s="8"/>
      <c r="F33" s="8"/>
      <c r="G33" s="8"/>
      <c r="H33" s="8"/>
      <c r="I33" s="8"/>
      <c r="J33" s="8"/>
      <c r="K33" s="17">
        <f t="shared" si="2"/>
        <v>0.99999999999999989</v>
      </c>
      <c r="M33" s="24">
        <f t="shared" si="3"/>
        <v>357.99499046158445</v>
      </c>
    </row>
    <row r="34" spans="1:13">
      <c r="A34" s="4">
        <v>38869</v>
      </c>
      <c r="B34" s="8">
        <f t="shared" si="1"/>
        <v>0.78492935635792782</v>
      </c>
      <c r="C34" s="8"/>
      <c r="D34" s="8"/>
      <c r="E34" s="8"/>
      <c r="F34" s="8"/>
      <c r="G34" s="8"/>
      <c r="H34" s="8"/>
      <c r="I34" s="8"/>
      <c r="J34" s="8"/>
      <c r="K34" s="17">
        <f t="shared" si="2"/>
        <v>0.99999999999999989</v>
      </c>
      <c r="M34" s="24">
        <f t="shared" si="3"/>
        <v>357.99499046158445</v>
      </c>
    </row>
    <row r="35" spans="1:13">
      <c r="A35" s="4">
        <v>38899</v>
      </c>
      <c r="B35" s="8">
        <f t="shared" si="1"/>
        <v>0.78492935635792782</v>
      </c>
      <c r="C35" s="8"/>
      <c r="D35" s="8"/>
      <c r="E35" s="8"/>
      <c r="F35" s="8"/>
      <c r="G35" s="8"/>
      <c r="H35" s="8"/>
      <c r="I35" s="8"/>
      <c r="J35" s="8"/>
      <c r="K35" s="17">
        <f t="shared" si="2"/>
        <v>0.99999999999999989</v>
      </c>
      <c r="M35" s="24">
        <f t="shared" si="3"/>
        <v>357.99499046158445</v>
      </c>
    </row>
    <row r="36" spans="1:13">
      <c r="A36" s="4">
        <v>38930</v>
      </c>
      <c r="B36" s="8">
        <f t="shared" si="1"/>
        <v>0.78492935635792782</v>
      </c>
      <c r="C36" s="8"/>
      <c r="D36" s="8"/>
      <c r="E36" s="8"/>
      <c r="F36" s="8"/>
      <c r="G36" s="8"/>
      <c r="H36" s="8"/>
      <c r="I36" s="8"/>
      <c r="J36" s="8"/>
      <c r="K36" s="17">
        <f t="shared" si="2"/>
        <v>0.99999999999999989</v>
      </c>
      <c r="M36" s="24">
        <f t="shared" si="3"/>
        <v>357.99499046158445</v>
      </c>
    </row>
    <row r="37" spans="1:13">
      <c r="A37" s="4">
        <v>38961</v>
      </c>
      <c r="B37" s="8">
        <f t="shared" si="1"/>
        <v>0.78492935635792782</v>
      </c>
      <c r="C37" s="8"/>
      <c r="D37" s="8"/>
      <c r="E37" s="8"/>
      <c r="F37" s="8"/>
      <c r="G37" s="8"/>
      <c r="H37" s="8"/>
      <c r="I37" s="8"/>
      <c r="J37" s="8"/>
      <c r="K37" s="17">
        <f t="shared" si="2"/>
        <v>0.99999999999999989</v>
      </c>
      <c r="M37" s="24">
        <f t="shared" si="3"/>
        <v>357.99499046158445</v>
      </c>
    </row>
    <row r="38" spans="1:13">
      <c r="A38" s="4">
        <v>38991</v>
      </c>
      <c r="B38" s="8">
        <f t="shared" si="1"/>
        <v>0.78492935635792782</v>
      </c>
      <c r="C38" s="8"/>
      <c r="D38" s="8"/>
      <c r="E38" s="8"/>
      <c r="F38" s="8"/>
      <c r="G38" s="8"/>
      <c r="H38" s="8"/>
      <c r="I38" s="8"/>
      <c r="J38" s="8"/>
      <c r="K38" s="17">
        <f t="shared" si="2"/>
        <v>0.99999999999999989</v>
      </c>
      <c r="M38" s="24">
        <f t="shared" si="3"/>
        <v>357.99499046158445</v>
      </c>
    </row>
    <row r="39" spans="1:13">
      <c r="A39" s="4">
        <v>39022</v>
      </c>
      <c r="B39" s="8">
        <f t="shared" si="1"/>
        <v>0.78492935635792782</v>
      </c>
      <c r="C39" s="8"/>
      <c r="D39" s="8"/>
      <c r="E39" s="8"/>
      <c r="F39" s="8"/>
      <c r="G39" s="8"/>
      <c r="H39" s="8"/>
      <c r="I39" s="8"/>
      <c r="J39" s="8"/>
      <c r="K39" s="17">
        <f t="shared" si="2"/>
        <v>0.99999999999999989</v>
      </c>
      <c r="M39" s="24">
        <f t="shared" si="3"/>
        <v>357.99499046158445</v>
      </c>
    </row>
    <row r="40" spans="1:13">
      <c r="A40" s="4">
        <v>39052</v>
      </c>
      <c r="B40" s="8">
        <f t="shared" si="1"/>
        <v>0.78492935635792782</v>
      </c>
      <c r="C40" s="8"/>
      <c r="D40" s="8"/>
      <c r="E40" s="8"/>
      <c r="F40" s="8"/>
      <c r="G40" s="8"/>
      <c r="H40" s="8"/>
      <c r="I40" s="8"/>
      <c r="J40" s="8"/>
      <c r="K40" s="17">
        <f t="shared" si="2"/>
        <v>0.99999999999999989</v>
      </c>
      <c r="M40" s="24">
        <f t="shared" si="3"/>
        <v>357.99499046158445</v>
      </c>
    </row>
    <row r="41" spans="1:13">
      <c r="A41" s="4">
        <v>39083</v>
      </c>
      <c r="B41" s="8">
        <f t="shared" si="1"/>
        <v>0.78492935635792782</v>
      </c>
      <c r="C41" s="8"/>
      <c r="D41" s="8"/>
      <c r="E41" s="8"/>
      <c r="F41" s="8"/>
      <c r="G41" s="8"/>
      <c r="H41" s="8"/>
      <c r="I41" s="8"/>
      <c r="J41" s="8"/>
      <c r="K41" s="17">
        <f t="shared" si="2"/>
        <v>0.99999999999999989</v>
      </c>
      <c r="M41" s="24">
        <f t="shared" si="3"/>
        <v>357.99499046158445</v>
      </c>
    </row>
    <row r="42" spans="1:13">
      <c r="A42" s="4">
        <v>39114</v>
      </c>
      <c r="B42" s="8">
        <f t="shared" si="1"/>
        <v>0.78492935635792782</v>
      </c>
      <c r="C42" s="8"/>
      <c r="D42" s="8"/>
      <c r="E42" s="8"/>
      <c r="F42" s="8"/>
      <c r="G42" s="8"/>
      <c r="H42" s="8"/>
      <c r="I42" s="8"/>
      <c r="J42" s="8"/>
      <c r="K42" s="17">
        <f t="shared" si="2"/>
        <v>0.99999999999999989</v>
      </c>
      <c r="M42" s="24">
        <f t="shared" si="3"/>
        <v>357.99499046158445</v>
      </c>
    </row>
    <row r="43" spans="1:13">
      <c r="A43" s="4">
        <v>39142</v>
      </c>
      <c r="B43" s="8">
        <f t="shared" si="1"/>
        <v>0.78492935635792782</v>
      </c>
      <c r="C43" s="8"/>
      <c r="D43" s="8"/>
      <c r="E43" s="8"/>
      <c r="F43" s="8"/>
      <c r="G43" s="8"/>
      <c r="H43" s="8"/>
      <c r="I43" s="8"/>
      <c r="J43" s="8"/>
      <c r="K43" s="17">
        <f t="shared" si="2"/>
        <v>0.99999999999999989</v>
      </c>
      <c r="M43" s="24">
        <f t="shared" si="3"/>
        <v>357.99499046158445</v>
      </c>
    </row>
    <row r="44" spans="1:13">
      <c r="A44" s="4">
        <v>39173</v>
      </c>
      <c r="B44" s="8">
        <f t="shared" si="1"/>
        <v>0.78492935635792782</v>
      </c>
      <c r="C44" s="8"/>
      <c r="D44" s="8"/>
      <c r="E44" s="8"/>
      <c r="F44" s="8"/>
      <c r="G44" s="8"/>
      <c r="H44" s="8"/>
      <c r="I44" s="8"/>
      <c r="J44" s="8"/>
      <c r="K44" s="17">
        <f t="shared" si="2"/>
        <v>0.99999999999999989</v>
      </c>
      <c r="M44" s="24">
        <f t="shared" si="3"/>
        <v>357.99499046158445</v>
      </c>
    </row>
    <row r="45" spans="1:13">
      <c r="A45" s="4">
        <v>39203</v>
      </c>
      <c r="B45" s="8">
        <f t="shared" si="1"/>
        <v>0.78492935635792782</v>
      </c>
      <c r="C45" s="8"/>
      <c r="D45" s="8"/>
      <c r="E45" s="8"/>
      <c r="F45" s="8"/>
      <c r="G45" s="8"/>
      <c r="H45" s="8"/>
      <c r="I45" s="8"/>
      <c r="J45" s="8"/>
      <c r="K45" s="17">
        <f t="shared" si="2"/>
        <v>0.99999999999999989</v>
      </c>
      <c r="M45" s="24">
        <f t="shared" si="3"/>
        <v>357.99499046158445</v>
      </c>
    </row>
    <row r="46" spans="1:13">
      <c r="A46" s="4">
        <v>39234</v>
      </c>
      <c r="B46" s="8">
        <f t="shared" si="1"/>
        <v>0.78492935635792782</v>
      </c>
      <c r="C46" s="8"/>
      <c r="D46" s="8"/>
      <c r="E46" s="8"/>
      <c r="F46" s="8"/>
      <c r="G46" s="8"/>
      <c r="H46" s="8"/>
      <c r="I46" s="8"/>
      <c r="J46" s="8"/>
      <c r="K46" s="17">
        <f t="shared" si="2"/>
        <v>0.99999999999999989</v>
      </c>
      <c r="M46" s="24">
        <f t="shared" si="3"/>
        <v>357.99499046158445</v>
      </c>
    </row>
    <row r="47" spans="1:13">
      <c r="A47" s="4">
        <v>39264</v>
      </c>
      <c r="B47" s="8">
        <f t="shared" si="1"/>
        <v>0.78492935635792782</v>
      </c>
      <c r="C47" s="8"/>
      <c r="D47" s="8"/>
      <c r="E47" s="8"/>
      <c r="F47" s="8"/>
      <c r="G47" s="8"/>
      <c r="H47" s="8"/>
      <c r="I47" s="8"/>
      <c r="J47" s="8"/>
      <c r="K47" s="17">
        <f t="shared" si="2"/>
        <v>0.99999999999999989</v>
      </c>
      <c r="M47" s="24">
        <f t="shared" si="3"/>
        <v>357.99499046158445</v>
      </c>
    </row>
    <row r="48" spans="1:13">
      <c r="A48" s="4">
        <v>39295</v>
      </c>
      <c r="B48" s="8">
        <f t="shared" si="1"/>
        <v>0.78492935635792782</v>
      </c>
      <c r="C48" s="8"/>
      <c r="D48" s="8"/>
      <c r="E48" s="8"/>
      <c r="F48" s="8"/>
      <c r="G48" s="8"/>
      <c r="H48" s="8"/>
      <c r="I48" s="8"/>
      <c r="J48" s="8"/>
      <c r="K48" s="17">
        <f t="shared" si="2"/>
        <v>0.99999999999999989</v>
      </c>
      <c r="M48" s="24">
        <f t="shared" si="3"/>
        <v>357.99499046158445</v>
      </c>
    </row>
    <row r="49" spans="1:13">
      <c r="A49" s="4">
        <v>39326</v>
      </c>
      <c r="B49" s="8">
        <f t="shared" si="1"/>
        <v>0.78492935635792782</v>
      </c>
      <c r="C49" s="8"/>
      <c r="D49" s="8"/>
      <c r="E49" s="8"/>
      <c r="F49" s="8"/>
      <c r="G49" s="8"/>
      <c r="H49" s="8"/>
      <c r="I49" s="8"/>
      <c r="J49" s="8"/>
      <c r="K49" s="17">
        <f t="shared" si="2"/>
        <v>0.99999999999999989</v>
      </c>
      <c r="M49" s="24">
        <f t="shared" si="3"/>
        <v>357.99499046158445</v>
      </c>
    </row>
    <row r="50" spans="1:13">
      <c r="A50" s="4">
        <v>39356</v>
      </c>
      <c r="B50" s="8">
        <f t="shared" si="1"/>
        <v>0.78492935635792782</v>
      </c>
      <c r="C50" s="8"/>
      <c r="D50" s="8"/>
      <c r="E50" s="8"/>
      <c r="F50" s="8"/>
      <c r="G50" s="8"/>
      <c r="H50" s="8"/>
      <c r="I50" s="8"/>
      <c r="J50" s="8"/>
      <c r="K50" s="17">
        <f t="shared" si="2"/>
        <v>0.99999999999999989</v>
      </c>
      <c r="M50" s="24">
        <f t="shared" si="3"/>
        <v>357.99499046158445</v>
      </c>
    </row>
    <row r="51" spans="1:13">
      <c r="A51" s="4">
        <v>39387</v>
      </c>
      <c r="B51" s="8">
        <f t="shared" si="1"/>
        <v>0.78492935635792782</v>
      </c>
      <c r="C51" s="8"/>
      <c r="D51" s="8"/>
      <c r="E51" s="8"/>
      <c r="F51" s="8"/>
      <c r="G51" s="8"/>
      <c r="H51" s="8"/>
      <c r="I51" s="8"/>
      <c r="J51" s="8"/>
      <c r="K51" s="17">
        <f t="shared" si="2"/>
        <v>0.99999999999999989</v>
      </c>
      <c r="M51" s="24">
        <f t="shared" si="3"/>
        <v>357.99499046158445</v>
      </c>
    </row>
    <row r="52" spans="1:13">
      <c r="A52" s="4">
        <v>39417</v>
      </c>
      <c r="B52" s="8">
        <f t="shared" si="1"/>
        <v>0.78492935635792782</v>
      </c>
      <c r="C52" s="8"/>
      <c r="D52" s="8"/>
      <c r="E52" s="8"/>
      <c r="F52" s="8"/>
      <c r="G52" s="8"/>
      <c r="H52" s="8"/>
      <c r="I52" s="8"/>
      <c r="J52" s="8"/>
      <c r="K52" s="17">
        <f t="shared" si="2"/>
        <v>0.99999999999999989</v>
      </c>
      <c r="M52" s="24">
        <f t="shared" si="3"/>
        <v>357.99499046158445</v>
      </c>
    </row>
    <row r="53" spans="1:13">
      <c r="A53" s="4">
        <v>39448</v>
      </c>
      <c r="B53" s="8">
        <f t="shared" si="1"/>
        <v>0.78492935635792782</v>
      </c>
      <c r="C53" s="8"/>
      <c r="D53" s="8"/>
      <c r="E53" s="8"/>
      <c r="F53" s="8"/>
      <c r="G53" s="8"/>
      <c r="H53" s="8"/>
      <c r="I53" s="8"/>
      <c r="J53" s="8"/>
      <c r="K53" s="17">
        <f t="shared" si="2"/>
        <v>0.99999999999999989</v>
      </c>
      <c r="M53" s="24">
        <f t="shared" si="3"/>
        <v>357.99499046158445</v>
      </c>
    </row>
    <row r="54" spans="1:13">
      <c r="A54" s="4">
        <v>39479</v>
      </c>
      <c r="B54" s="8">
        <f t="shared" si="1"/>
        <v>0.78492935635792782</v>
      </c>
      <c r="C54" s="8"/>
      <c r="D54" s="8"/>
      <c r="E54" s="8"/>
      <c r="F54" s="8"/>
      <c r="G54" s="8"/>
      <c r="H54" s="8"/>
      <c r="I54" s="8"/>
      <c r="J54" s="8"/>
      <c r="K54" s="17">
        <f t="shared" si="2"/>
        <v>0.99999999999999989</v>
      </c>
      <c r="M54" s="24">
        <f t="shared" si="3"/>
        <v>357.99499046158445</v>
      </c>
    </row>
    <row r="55" spans="1:13">
      <c r="A55" s="4">
        <v>39508</v>
      </c>
      <c r="B55" s="8">
        <f t="shared" si="1"/>
        <v>0.78492935635792782</v>
      </c>
      <c r="C55" s="8"/>
      <c r="D55" s="8"/>
      <c r="E55" s="8"/>
      <c r="F55" s="8"/>
      <c r="G55" s="8"/>
      <c r="H55" s="8"/>
      <c r="I55" s="8"/>
      <c r="J55" s="8"/>
      <c r="K55" s="17">
        <f t="shared" si="2"/>
        <v>0.99999999999999989</v>
      </c>
      <c r="M55" s="24">
        <f t="shared" si="3"/>
        <v>357.99499046158445</v>
      </c>
    </row>
    <row r="56" spans="1:13">
      <c r="A56" s="4">
        <v>39539</v>
      </c>
      <c r="B56" s="8">
        <f t="shared" si="1"/>
        <v>0.78492935635792782</v>
      </c>
      <c r="C56" s="8"/>
      <c r="D56" s="8"/>
      <c r="E56" s="8"/>
      <c r="F56" s="8"/>
      <c r="G56" s="8"/>
      <c r="H56" s="8"/>
      <c r="I56" s="8"/>
      <c r="J56" s="8"/>
      <c r="K56" s="17">
        <f t="shared" si="2"/>
        <v>0.99999999999999989</v>
      </c>
      <c r="M56" s="24">
        <f t="shared" si="3"/>
        <v>357.99499046158445</v>
      </c>
    </row>
    <row r="57" spans="1:13">
      <c r="A57" s="4">
        <v>39569</v>
      </c>
      <c r="B57" s="8">
        <f t="shared" si="1"/>
        <v>0.78492935635792782</v>
      </c>
      <c r="C57" s="8"/>
      <c r="D57" s="8"/>
      <c r="E57" s="8"/>
      <c r="F57" s="8"/>
      <c r="G57" s="8"/>
      <c r="H57" s="8"/>
      <c r="I57" s="8"/>
      <c r="J57" s="8"/>
      <c r="K57" s="17">
        <f t="shared" si="2"/>
        <v>0.99999999999999989</v>
      </c>
      <c r="M57" s="24">
        <f t="shared" si="3"/>
        <v>357.99499046158445</v>
      </c>
    </row>
    <row r="58" spans="1:13">
      <c r="A58" s="4">
        <v>39600</v>
      </c>
      <c r="B58" s="8">
        <f t="shared" si="1"/>
        <v>0.78492935635792782</v>
      </c>
      <c r="C58" s="8"/>
      <c r="D58" s="8"/>
      <c r="E58" s="8"/>
      <c r="F58" s="8"/>
      <c r="G58" s="8"/>
      <c r="H58" s="8"/>
      <c r="I58" s="8"/>
      <c r="J58" s="8"/>
      <c r="K58" s="17">
        <f t="shared" si="2"/>
        <v>0.99999999999999989</v>
      </c>
      <c r="M58" s="24">
        <f t="shared" si="3"/>
        <v>357.99499046158445</v>
      </c>
    </row>
    <row r="59" spans="1:13">
      <c r="A59" s="4">
        <v>39630</v>
      </c>
      <c r="B59" s="8">
        <f t="shared" si="1"/>
        <v>0.78492935635792782</v>
      </c>
      <c r="C59" s="8"/>
      <c r="D59" s="8"/>
      <c r="E59" s="8"/>
      <c r="F59" s="8"/>
      <c r="G59" s="8"/>
      <c r="H59" s="8"/>
      <c r="I59" s="8"/>
      <c r="J59" s="8"/>
      <c r="K59" s="17">
        <f t="shared" si="2"/>
        <v>0.99999999999999989</v>
      </c>
      <c r="M59" s="24">
        <f t="shared" si="3"/>
        <v>357.99499046158445</v>
      </c>
    </row>
    <row r="60" spans="1:13">
      <c r="A60" s="4">
        <v>39661</v>
      </c>
      <c r="B60" s="8">
        <f t="shared" si="1"/>
        <v>0.78492935635792782</v>
      </c>
      <c r="C60" s="8"/>
      <c r="D60" s="8"/>
      <c r="E60" s="8"/>
      <c r="F60" s="8"/>
      <c r="G60" s="8"/>
      <c r="H60" s="8"/>
      <c r="I60" s="8"/>
      <c r="J60" s="8"/>
      <c r="K60" s="17">
        <f t="shared" si="2"/>
        <v>0.99999999999999989</v>
      </c>
      <c r="M60" s="24">
        <f t="shared" si="3"/>
        <v>357.99499046158445</v>
      </c>
    </row>
    <row r="61" spans="1:13">
      <c r="A61" s="4">
        <v>39692</v>
      </c>
      <c r="B61" s="8">
        <f t="shared" si="1"/>
        <v>0.78492935635792782</v>
      </c>
      <c r="C61" s="8"/>
      <c r="D61" s="8"/>
      <c r="E61" s="8"/>
      <c r="F61" s="8"/>
      <c r="G61" s="8"/>
      <c r="H61" s="8"/>
      <c r="I61" s="8"/>
      <c r="J61" s="8"/>
      <c r="K61" s="17">
        <f t="shared" si="2"/>
        <v>0.99999999999999989</v>
      </c>
      <c r="M61" s="24">
        <f t="shared" si="3"/>
        <v>357.99499046158445</v>
      </c>
    </row>
    <row r="62" spans="1:13">
      <c r="A62" s="4">
        <v>39722</v>
      </c>
      <c r="B62" s="8">
        <f t="shared" si="1"/>
        <v>0.78492935635792782</v>
      </c>
      <c r="C62" s="8"/>
      <c r="D62" s="8"/>
      <c r="E62" s="8"/>
      <c r="F62" s="8"/>
      <c r="G62" s="8"/>
      <c r="H62" s="8"/>
      <c r="I62" s="8"/>
      <c r="J62" s="8"/>
      <c r="K62" s="17">
        <f t="shared" si="2"/>
        <v>0.99999999999999989</v>
      </c>
      <c r="M62" s="24">
        <f t="shared" si="3"/>
        <v>357.99499046158445</v>
      </c>
    </row>
    <row r="63" spans="1:13">
      <c r="A63" s="4">
        <v>39753</v>
      </c>
      <c r="B63" s="8">
        <f t="shared" si="1"/>
        <v>0.78492935635792782</v>
      </c>
      <c r="C63" s="8"/>
      <c r="D63" s="8"/>
      <c r="E63" s="8"/>
      <c r="F63" s="8"/>
      <c r="G63" s="8"/>
      <c r="H63" s="8"/>
      <c r="I63" s="8"/>
      <c r="J63" s="8"/>
      <c r="K63" s="17">
        <f t="shared" si="2"/>
        <v>0.99999999999999989</v>
      </c>
      <c r="M63" s="24">
        <f t="shared" si="3"/>
        <v>357.99499046158445</v>
      </c>
    </row>
    <row r="64" spans="1:13">
      <c r="A64" s="4">
        <v>39783</v>
      </c>
      <c r="B64" s="8">
        <f t="shared" si="1"/>
        <v>0.78492935635792782</v>
      </c>
      <c r="C64" s="8"/>
      <c r="D64" s="8"/>
      <c r="E64" s="8"/>
      <c r="F64" s="8"/>
      <c r="G64" s="8"/>
      <c r="H64" s="8"/>
      <c r="I64" s="8"/>
      <c r="J64" s="8"/>
      <c r="K64" s="17">
        <f t="shared" si="2"/>
        <v>0.99999999999999989</v>
      </c>
      <c r="M64" s="24">
        <f t="shared" si="3"/>
        <v>357.99499046158445</v>
      </c>
    </row>
    <row r="65" spans="1:13">
      <c r="A65" s="4">
        <v>39814</v>
      </c>
      <c r="B65" s="8">
        <f t="shared" si="1"/>
        <v>0.78492935635792782</v>
      </c>
      <c r="C65" s="8"/>
      <c r="D65" s="8"/>
      <c r="E65" s="8"/>
      <c r="F65" s="8"/>
      <c r="G65" s="8"/>
      <c r="H65" s="8"/>
      <c r="I65" s="8"/>
      <c r="J65" s="8"/>
      <c r="K65" s="17">
        <f t="shared" si="2"/>
        <v>0.99999999999999989</v>
      </c>
      <c r="M65" s="24">
        <f t="shared" si="3"/>
        <v>357.99499046158445</v>
      </c>
    </row>
    <row r="66" spans="1:13">
      <c r="A66" s="4">
        <v>39845</v>
      </c>
      <c r="B66" s="8">
        <f t="shared" si="1"/>
        <v>0.78492935635792782</v>
      </c>
      <c r="C66" s="8"/>
      <c r="D66" s="8"/>
      <c r="E66" s="8"/>
      <c r="F66" s="8"/>
      <c r="G66" s="8"/>
      <c r="H66" s="8"/>
      <c r="I66" s="8"/>
      <c r="J66" s="8"/>
      <c r="K66" s="17">
        <f t="shared" si="2"/>
        <v>0.99999999999999989</v>
      </c>
      <c r="M66" s="24">
        <f t="shared" si="3"/>
        <v>357.99499046158445</v>
      </c>
    </row>
    <row r="67" spans="1:13">
      <c r="A67" s="4">
        <v>39873</v>
      </c>
      <c r="B67" s="8">
        <f t="shared" si="1"/>
        <v>0.78492935635792782</v>
      </c>
      <c r="C67" s="8"/>
      <c r="D67" s="8"/>
      <c r="E67" s="8"/>
      <c r="F67" s="8"/>
      <c r="G67" s="8"/>
      <c r="H67" s="8"/>
      <c r="I67" s="8"/>
      <c r="J67" s="8"/>
      <c r="K67" s="17">
        <f t="shared" si="2"/>
        <v>0.99999999999999989</v>
      </c>
      <c r="M67" s="24">
        <f t="shared" si="3"/>
        <v>357.99499046158445</v>
      </c>
    </row>
    <row r="68" spans="1:13">
      <c r="A68" s="4">
        <v>39904</v>
      </c>
      <c r="B68" s="8">
        <f t="shared" si="1"/>
        <v>0.78492935635792782</v>
      </c>
      <c r="C68" s="8"/>
      <c r="D68" s="8"/>
      <c r="E68" s="8"/>
      <c r="F68" s="8"/>
      <c r="G68" s="8"/>
      <c r="H68" s="8"/>
      <c r="I68" s="8"/>
      <c r="J68" s="8"/>
      <c r="K68" s="17">
        <f t="shared" si="2"/>
        <v>0.99999999999999989</v>
      </c>
      <c r="M68" s="24">
        <f t="shared" si="3"/>
        <v>357.99499046158445</v>
      </c>
    </row>
    <row r="69" spans="1:13">
      <c r="A69" s="4">
        <v>39934</v>
      </c>
      <c r="B69" s="8">
        <f t="shared" si="1"/>
        <v>0.78492935635792782</v>
      </c>
      <c r="C69" s="8"/>
      <c r="D69" s="8"/>
      <c r="E69" s="8"/>
      <c r="F69" s="8"/>
      <c r="G69" s="8"/>
      <c r="H69" s="8"/>
      <c r="I69" s="8"/>
      <c r="J69" s="8"/>
      <c r="K69" s="17">
        <f t="shared" si="2"/>
        <v>0.99999999999999989</v>
      </c>
      <c r="M69" s="24">
        <f t="shared" si="3"/>
        <v>357.99499046158445</v>
      </c>
    </row>
    <row r="70" spans="1:13">
      <c r="A70" s="4">
        <v>39965</v>
      </c>
      <c r="B70" s="8">
        <f t="shared" si="1"/>
        <v>0.78492935635792782</v>
      </c>
      <c r="C70" s="8"/>
      <c r="D70" s="8"/>
      <c r="E70" s="8"/>
      <c r="F70" s="8"/>
      <c r="G70" s="8"/>
      <c r="H70" s="8"/>
      <c r="I70" s="8"/>
      <c r="J70" s="8"/>
      <c r="K70" s="17">
        <f t="shared" si="2"/>
        <v>0.99999999999999989</v>
      </c>
      <c r="M70" s="24">
        <f t="shared" si="3"/>
        <v>357.99499046158445</v>
      </c>
    </row>
    <row r="71" spans="1:13">
      <c r="A71" s="4">
        <v>39995</v>
      </c>
      <c r="B71" s="8">
        <f t="shared" si="1"/>
        <v>0.78492935635792782</v>
      </c>
      <c r="C71" s="8"/>
      <c r="D71" s="8"/>
      <c r="E71" s="8"/>
      <c r="F71" s="8"/>
      <c r="G71" s="8"/>
      <c r="H71" s="8"/>
      <c r="I71" s="8"/>
      <c r="J71" s="8"/>
      <c r="K71" s="17">
        <f t="shared" si="2"/>
        <v>0.99999999999999989</v>
      </c>
      <c r="M71" s="24">
        <f t="shared" si="3"/>
        <v>357.99499046158445</v>
      </c>
    </row>
    <row r="72" spans="1:13">
      <c r="A72" s="4">
        <v>40026</v>
      </c>
      <c r="B72" s="8">
        <f t="shared" si="1"/>
        <v>0.78492935635792782</v>
      </c>
      <c r="C72" s="8"/>
      <c r="D72" s="8"/>
      <c r="E72" s="8"/>
      <c r="F72" s="8"/>
      <c r="G72" s="8"/>
      <c r="H72" s="8"/>
      <c r="I72" s="8"/>
      <c r="J72" s="8"/>
      <c r="K72" s="17">
        <f t="shared" si="2"/>
        <v>0.99999999999999989</v>
      </c>
      <c r="M72" s="24">
        <f t="shared" si="3"/>
        <v>357.99499046158445</v>
      </c>
    </row>
    <row r="73" spans="1:13">
      <c r="A73" s="4">
        <v>40057</v>
      </c>
      <c r="B73" s="8">
        <f t="shared" si="1"/>
        <v>0.78492935635792782</v>
      </c>
      <c r="C73" s="8"/>
      <c r="D73" s="8"/>
      <c r="E73" s="8"/>
      <c r="F73" s="8"/>
      <c r="G73" s="8"/>
      <c r="H73" s="8"/>
      <c r="I73" s="8"/>
      <c r="J73" s="8"/>
      <c r="K73" s="17">
        <f t="shared" si="2"/>
        <v>0.99999999999999989</v>
      </c>
      <c r="M73" s="24">
        <f t="shared" si="3"/>
        <v>357.99499046158445</v>
      </c>
    </row>
    <row r="74" spans="1:13">
      <c r="A74" s="4">
        <v>40087</v>
      </c>
      <c r="B74" s="8">
        <f t="shared" si="1"/>
        <v>0.78492935635792782</v>
      </c>
      <c r="C74" s="8"/>
      <c r="D74" s="8"/>
      <c r="E74" s="8"/>
      <c r="F74" s="8"/>
      <c r="G74" s="8"/>
      <c r="H74" s="8"/>
      <c r="I74" s="8"/>
      <c r="J74" s="8"/>
      <c r="K74" s="17">
        <f t="shared" si="2"/>
        <v>0.99999999999999989</v>
      </c>
      <c r="M74" s="24">
        <f t="shared" si="3"/>
        <v>357.99499046158445</v>
      </c>
    </row>
    <row r="75" spans="1:13">
      <c r="A75" s="4">
        <v>40118</v>
      </c>
      <c r="B75" s="8">
        <f t="shared" si="1"/>
        <v>0.78492935635792782</v>
      </c>
      <c r="C75" s="8"/>
      <c r="D75" s="8"/>
      <c r="E75" s="8"/>
      <c r="F75" s="8"/>
      <c r="G75" s="8"/>
      <c r="H75" s="8"/>
      <c r="I75" s="8"/>
      <c r="J75" s="8"/>
      <c r="K75" s="17">
        <f t="shared" si="2"/>
        <v>0.99999999999999989</v>
      </c>
      <c r="M75" s="24">
        <f t="shared" si="3"/>
        <v>357.99499046158445</v>
      </c>
    </row>
    <row r="76" spans="1:13">
      <c r="A76" s="4">
        <v>40148</v>
      </c>
      <c r="B76" s="8">
        <f t="shared" si="1"/>
        <v>0.78492935635792782</v>
      </c>
      <c r="C76" s="8"/>
      <c r="D76" s="8"/>
      <c r="E76" s="8"/>
      <c r="F76" s="8"/>
      <c r="G76" s="8"/>
      <c r="H76" s="8"/>
      <c r="I76" s="8"/>
      <c r="J76" s="8"/>
      <c r="K76" s="17">
        <f t="shared" si="2"/>
        <v>0.99999999999999989</v>
      </c>
      <c r="M76" s="24">
        <f t="shared" si="3"/>
        <v>357.99499046158445</v>
      </c>
    </row>
    <row r="77" spans="1:13">
      <c r="A77" s="4">
        <v>40179</v>
      </c>
      <c r="B77" s="8">
        <f t="shared" si="1"/>
        <v>0.78492935635792782</v>
      </c>
      <c r="C77" s="8"/>
      <c r="D77" s="8"/>
      <c r="E77" s="8"/>
      <c r="F77" s="8"/>
      <c r="G77" s="8"/>
      <c r="H77" s="8"/>
      <c r="I77" s="8"/>
      <c r="J77" s="8"/>
      <c r="K77" s="17">
        <f t="shared" si="2"/>
        <v>0.99999999999999989</v>
      </c>
      <c r="M77" s="24">
        <f t="shared" si="3"/>
        <v>357.99499046158445</v>
      </c>
    </row>
    <row r="78" spans="1:13">
      <c r="A78" s="4">
        <v>40210</v>
      </c>
      <c r="B78" s="8">
        <f t="shared" si="1"/>
        <v>0.78492935635792782</v>
      </c>
      <c r="C78" s="8"/>
      <c r="D78" s="8"/>
      <c r="E78" s="8"/>
      <c r="F78" s="8"/>
      <c r="G78" s="8"/>
      <c r="H78" s="8"/>
      <c r="I78" s="8"/>
      <c r="J78" s="8"/>
      <c r="K78" s="17">
        <f t="shared" si="2"/>
        <v>0.99999999999999989</v>
      </c>
      <c r="M78" s="24">
        <f t="shared" si="3"/>
        <v>357.99499046158445</v>
      </c>
    </row>
    <row r="79" spans="1:13">
      <c r="A79" s="4">
        <v>40238</v>
      </c>
      <c r="B79" s="8">
        <f t="shared" si="1"/>
        <v>0.78492935635792782</v>
      </c>
      <c r="C79" s="8"/>
      <c r="D79" s="8"/>
      <c r="E79" s="8"/>
      <c r="F79" s="8"/>
      <c r="G79" s="8"/>
      <c r="H79" s="8"/>
      <c r="I79" s="8"/>
      <c r="J79" s="8"/>
      <c r="K79" s="17">
        <f t="shared" si="2"/>
        <v>0.99999999999999989</v>
      </c>
      <c r="M79" s="24">
        <f t="shared" si="3"/>
        <v>357.99499046158445</v>
      </c>
    </row>
    <row r="80" spans="1:13">
      <c r="A80" s="4">
        <v>40269</v>
      </c>
      <c r="B80" s="8">
        <f t="shared" si="1"/>
        <v>0.78492935635792782</v>
      </c>
      <c r="C80" s="8"/>
      <c r="D80" s="8"/>
      <c r="E80" s="8"/>
      <c r="F80" s="8"/>
      <c r="G80" s="8"/>
      <c r="H80" s="8"/>
      <c r="I80" s="8"/>
      <c r="J80" s="8"/>
      <c r="K80" s="17">
        <f t="shared" si="2"/>
        <v>0.99999999999999989</v>
      </c>
      <c r="M80" s="24">
        <f t="shared" si="3"/>
        <v>357.99499046158445</v>
      </c>
    </row>
    <row r="81" spans="1:13">
      <c r="A81" s="4">
        <v>40299</v>
      </c>
      <c r="B81" s="8">
        <f t="shared" si="1"/>
        <v>0.78492935635792782</v>
      </c>
      <c r="C81" s="8"/>
      <c r="D81" s="8"/>
      <c r="E81" s="8"/>
      <c r="F81" s="8"/>
      <c r="G81" s="8"/>
      <c r="H81" s="8"/>
      <c r="I81" s="8"/>
      <c r="J81" s="8"/>
      <c r="K81" s="17">
        <f t="shared" si="2"/>
        <v>0.99999999999999989</v>
      </c>
      <c r="M81" s="24">
        <f t="shared" si="3"/>
        <v>357.99499046158445</v>
      </c>
    </row>
    <row r="82" spans="1:13">
      <c r="A82" s="4">
        <v>40330</v>
      </c>
      <c r="B82" s="8">
        <f t="shared" si="1"/>
        <v>0.78492935635792782</v>
      </c>
      <c r="C82" s="8"/>
      <c r="D82" s="8"/>
      <c r="E82" s="8"/>
      <c r="F82" s="8"/>
      <c r="G82" s="8"/>
      <c r="H82" s="8"/>
      <c r="I82" s="8"/>
      <c r="J82" s="8"/>
      <c r="K82" s="17">
        <f t="shared" si="2"/>
        <v>0.99999999999999989</v>
      </c>
      <c r="M82" s="24">
        <f t="shared" si="3"/>
        <v>357.99499046158445</v>
      </c>
    </row>
    <row r="83" spans="1:13">
      <c r="A83" s="4">
        <v>40360</v>
      </c>
      <c r="B83" s="8">
        <f t="shared" si="1"/>
        <v>0.78492935635792782</v>
      </c>
      <c r="C83" s="8"/>
      <c r="D83" s="8"/>
      <c r="E83" s="8"/>
      <c r="F83" s="8"/>
      <c r="G83" s="8"/>
      <c r="H83" s="8"/>
      <c r="I83" s="8"/>
      <c r="J83" s="8"/>
      <c r="K83" s="17">
        <f t="shared" si="2"/>
        <v>0.99999999999999989</v>
      </c>
      <c r="M83" s="24">
        <f t="shared" si="3"/>
        <v>357.99499046158445</v>
      </c>
    </row>
    <row r="84" spans="1:13">
      <c r="A84" s="4">
        <v>40391</v>
      </c>
      <c r="B84" s="8">
        <f t="shared" si="1"/>
        <v>0.78492935635792782</v>
      </c>
      <c r="C84" s="8"/>
      <c r="D84" s="8"/>
      <c r="E84" s="8"/>
      <c r="F84" s="8"/>
      <c r="G84" s="8"/>
      <c r="H84" s="8"/>
      <c r="I84" s="8"/>
      <c r="J84" s="8"/>
      <c r="K84" s="17">
        <f t="shared" si="2"/>
        <v>0.99999999999999989</v>
      </c>
      <c r="M84" s="24">
        <f t="shared" si="3"/>
        <v>357.99499046158445</v>
      </c>
    </row>
    <row r="85" spans="1:13">
      <c r="A85" s="4">
        <v>40422</v>
      </c>
      <c r="B85" s="8">
        <f t="shared" si="1"/>
        <v>0.78492935635792782</v>
      </c>
      <c r="C85" s="8"/>
      <c r="D85" s="8"/>
      <c r="E85" s="8"/>
      <c r="F85" s="8"/>
      <c r="G85" s="8"/>
      <c r="H85" s="8"/>
      <c r="I85" s="8"/>
      <c r="J85" s="8"/>
      <c r="K85" s="17">
        <f t="shared" si="2"/>
        <v>0.99999999999999989</v>
      </c>
      <c r="M85" s="24">
        <f t="shared" si="3"/>
        <v>357.99499046158445</v>
      </c>
    </row>
    <row r="86" spans="1:13">
      <c r="A86" s="4">
        <v>40452</v>
      </c>
      <c r="B86" s="8">
        <f t="shared" si="1"/>
        <v>0.78492935635792782</v>
      </c>
      <c r="C86" s="8"/>
      <c r="D86" s="8"/>
      <c r="E86" s="8"/>
      <c r="F86" s="8"/>
      <c r="G86" s="8"/>
      <c r="H86" s="8"/>
      <c r="I86" s="8"/>
      <c r="J86" s="8"/>
      <c r="K86" s="17">
        <f t="shared" si="2"/>
        <v>0.99999999999999989</v>
      </c>
      <c r="M86" s="24">
        <f t="shared" si="3"/>
        <v>357.99499046158445</v>
      </c>
    </row>
    <row r="87" spans="1:13">
      <c r="A87" s="4">
        <v>40483</v>
      </c>
      <c r="B87" s="8">
        <f t="shared" si="1"/>
        <v>0.78492935635792782</v>
      </c>
      <c r="C87" s="8"/>
      <c r="D87" s="8"/>
      <c r="E87" s="8"/>
      <c r="F87" s="8"/>
      <c r="G87" s="8"/>
      <c r="H87" s="8"/>
      <c r="I87" s="8"/>
      <c r="J87" s="8"/>
      <c r="K87" s="17">
        <f t="shared" si="2"/>
        <v>0.99999999999999989</v>
      </c>
      <c r="M87" s="24">
        <f t="shared" si="3"/>
        <v>357.99499046158445</v>
      </c>
    </row>
    <row r="88" spans="1:13">
      <c r="A88" s="4">
        <v>40513</v>
      </c>
      <c r="B88" s="8">
        <f t="shared" si="1"/>
        <v>0.78492935635792782</v>
      </c>
      <c r="C88" s="8"/>
      <c r="D88" s="8"/>
      <c r="E88" s="8"/>
      <c r="F88" s="8"/>
      <c r="G88" s="8"/>
      <c r="H88" s="8"/>
      <c r="I88" s="8"/>
      <c r="J88" s="8"/>
      <c r="K88" s="17">
        <f t="shared" si="2"/>
        <v>0.99999999999999989</v>
      </c>
      <c r="M88" s="24">
        <f t="shared" si="3"/>
        <v>357.99499046158445</v>
      </c>
    </row>
    <row r="89" spans="1:13">
      <c r="A89" s="4">
        <v>40544</v>
      </c>
      <c r="B89" s="8">
        <f t="shared" si="1"/>
        <v>0.78492935635792782</v>
      </c>
      <c r="C89" s="8"/>
      <c r="D89" s="8"/>
      <c r="E89" s="8"/>
      <c r="F89" s="8"/>
      <c r="G89" s="8"/>
      <c r="H89" s="8"/>
      <c r="I89" s="8"/>
      <c r="J89" s="8"/>
      <c r="K89" s="17">
        <f t="shared" si="2"/>
        <v>0.99999999999999989</v>
      </c>
      <c r="M89" s="24">
        <f t="shared" si="3"/>
        <v>357.99499046158445</v>
      </c>
    </row>
    <row r="90" spans="1:13">
      <c r="A90" s="4">
        <v>40575</v>
      </c>
      <c r="B90" s="8">
        <f t="shared" si="1"/>
        <v>0.78492935635792782</v>
      </c>
      <c r="C90" s="8"/>
      <c r="D90" s="8"/>
      <c r="E90" s="8"/>
      <c r="F90" s="8"/>
      <c r="G90" s="8"/>
      <c r="H90" s="8"/>
      <c r="I90" s="8"/>
      <c r="J90" s="8"/>
      <c r="K90" s="17">
        <f t="shared" si="2"/>
        <v>0.99999999999999989</v>
      </c>
      <c r="M90" s="24">
        <f t="shared" si="3"/>
        <v>357.99499046158445</v>
      </c>
    </row>
    <row r="91" spans="1:13">
      <c r="A91" s="4">
        <v>40603</v>
      </c>
      <c r="B91" s="8">
        <f t="shared" si="1"/>
        <v>0.78492935635792782</v>
      </c>
      <c r="C91" s="8"/>
      <c r="D91" s="8"/>
      <c r="E91" s="8"/>
      <c r="F91" s="8"/>
      <c r="G91" s="8"/>
      <c r="H91" s="8"/>
      <c r="I91" s="8"/>
      <c r="J91" s="8"/>
      <c r="K91" s="17">
        <f t="shared" si="2"/>
        <v>0.99999999999999989</v>
      </c>
      <c r="M91" s="24">
        <f t="shared" si="3"/>
        <v>357.99499046158445</v>
      </c>
    </row>
    <row r="92" spans="1:13">
      <c r="A92" s="4">
        <v>40634</v>
      </c>
      <c r="B92" s="8">
        <f t="shared" si="1"/>
        <v>0.78492935635792782</v>
      </c>
      <c r="C92" s="8"/>
      <c r="D92" s="8"/>
      <c r="E92" s="8"/>
      <c r="F92" s="8"/>
      <c r="G92" s="8"/>
      <c r="H92" s="8"/>
      <c r="I92" s="8"/>
      <c r="J92" s="8"/>
      <c r="K92" s="17">
        <f t="shared" si="2"/>
        <v>0.99999999999999989</v>
      </c>
      <c r="M92" s="24">
        <f t="shared" si="3"/>
        <v>357.99499046158445</v>
      </c>
    </row>
    <row r="93" spans="1:13">
      <c r="A93" s="4">
        <v>40664</v>
      </c>
      <c r="B93" s="8">
        <f t="shared" ref="B93:B136" si="4">IF($A93&gt;=B$22,IF($A93&lt;=B$24,1,B$20),B$20)</f>
        <v>0.78492935635792782</v>
      </c>
      <c r="C93" s="8"/>
      <c r="D93" s="8"/>
      <c r="E93" s="8"/>
      <c r="F93" s="8"/>
      <c r="G93" s="8"/>
      <c r="H93" s="8"/>
      <c r="I93" s="8"/>
      <c r="J93" s="8"/>
      <c r="K93" s="17">
        <f t="shared" si="2"/>
        <v>0.99999999999999989</v>
      </c>
      <c r="M93" s="24">
        <f t="shared" si="3"/>
        <v>357.99499046158445</v>
      </c>
    </row>
    <row r="94" spans="1:13">
      <c r="A94" s="4">
        <v>40695</v>
      </c>
      <c r="B94" s="8">
        <f t="shared" si="4"/>
        <v>0.78492935635792782</v>
      </c>
      <c r="C94" s="8"/>
      <c r="D94" s="8"/>
      <c r="E94" s="8"/>
      <c r="F94" s="8"/>
      <c r="G94" s="8"/>
      <c r="H94" s="8"/>
      <c r="I94" s="8"/>
      <c r="J94" s="8"/>
      <c r="K94" s="17">
        <f t="shared" ref="K94:K136" si="5">B94/B$27</f>
        <v>0.99999999999999989</v>
      </c>
      <c r="M94" s="24">
        <f t="shared" ref="M94:M136" si="6">$B$11</f>
        <v>357.99499046158445</v>
      </c>
    </row>
    <row r="95" spans="1:13">
      <c r="A95" s="4">
        <v>40725</v>
      </c>
      <c r="B95" s="8">
        <f t="shared" si="4"/>
        <v>0.78492935635792782</v>
      </c>
      <c r="C95" s="8"/>
      <c r="D95" s="8"/>
      <c r="E95" s="8"/>
      <c r="F95" s="8"/>
      <c r="G95" s="8"/>
      <c r="H95" s="8"/>
      <c r="I95" s="8"/>
      <c r="J95" s="8"/>
      <c r="K95" s="17">
        <f t="shared" si="5"/>
        <v>0.99999999999999989</v>
      </c>
      <c r="M95" s="24">
        <f t="shared" si="6"/>
        <v>357.99499046158445</v>
      </c>
    </row>
    <row r="96" spans="1:13">
      <c r="A96" s="4">
        <v>40756</v>
      </c>
      <c r="B96" s="8">
        <f t="shared" si="4"/>
        <v>0.78492935635792782</v>
      </c>
      <c r="C96" s="8"/>
      <c r="D96" s="8"/>
      <c r="E96" s="8"/>
      <c r="F96" s="8"/>
      <c r="G96" s="8"/>
      <c r="H96" s="8"/>
      <c r="I96" s="8"/>
      <c r="J96" s="8"/>
      <c r="K96" s="17">
        <f t="shared" si="5"/>
        <v>0.99999999999999989</v>
      </c>
      <c r="M96" s="24">
        <f t="shared" si="6"/>
        <v>357.99499046158445</v>
      </c>
    </row>
    <row r="97" spans="1:13">
      <c r="A97" s="4">
        <v>40787</v>
      </c>
      <c r="B97" s="8">
        <f t="shared" si="4"/>
        <v>0.78492935635792782</v>
      </c>
      <c r="C97" s="8"/>
      <c r="D97" s="8"/>
      <c r="E97" s="8"/>
      <c r="F97" s="8"/>
      <c r="G97" s="8"/>
      <c r="H97" s="8"/>
      <c r="I97" s="8"/>
      <c r="J97" s="8"/>
      <c r="K97" s="17">
        <f t="shared" si="5"/>
        <v>0.99999999999999989</v>
      </c>
      <c r="M97" s="24">
        <f t="shared" si="6"/>
        <v>357.99499046158445</v>
      </c>
    </row>
    <row r="98" spans="1:13">
      <c r="A98" s="4">
        <v>40817</v>
      </c>
      <c r="B98" s="8">
        <f t="shared" si="4"/>
        <v>0.78492935635792782</v>
      </c>
      <c r="C98" s="8"/>
      <c r="D98" s="8"/>
      <c r="E98" s="8"/>
      <c r="F98" s="8"/>
      <c r="G98" s="8"/>
      <c r="H98" s="8"/>
      <c r="I98" s="8"/>
      <c r="J98" s="8"/>
      <c r="K98" s="17">
        <f t="shared" si="5"/>
        <v>0.99999999999999989</v>
      </c>
      <c r="M98" s="24">
        <f t="shared" si="6"/>
        <v>357.99499046158445</v>
      </c>
    </row>
    <row r="99" spans="1:13">
      <c r="A99" s="4">
        <v>40848</v>
      </c>
      <c r="B99" s="8">
        <f t="shared" si="4"/>
        <v>0.78492935635792782</v>
      </c>
      <c r="C99" s="8"/>
      <c r="D99" s="8"/>
      <c r="E99" s="8"/>
      <c r="F99" s="8"/>
      <c r="G99" s="8"/>
      <c r="H99" s="8"/>
      <c r="I99" s="8"/>
      <c r="J99" s="8"/>
      <c r="K99" s="17">
        <f t="shared" si="5"/>
        <v>0.99999999999999989</v>
      </c>
      <c r="M99" s="24">
        <f t="shared" si="6"/>
        <v>357.99499046158445</v>
      </c>
    </row>
    <row r="100" spans="1:13">
      <c r="A100" s="4">
        <v>40878</v>
      </c>
      <c r="B100" s="8">
        <f t="shared" si="4"/>
        <v>0.78492935635792782</v>
      </c>
      <c r="C100" s="8"/>
      <c r="D100" s="8"/>
      <c r="E100" s="8"/>
      <c r="F100" s="8"/>
      <c r="G100" s="8"/>
      <c r="H100" s="8"/>
      <c r="I100" s="8"/>
      <c r="J100" s="8"/>
      <c r="K100" s="17">
        <f t="shared" si="5"/>
        <v>0.99999999999999989</v>
      </c>
      <c r="M100" s="24">
        <f t="shared" si="6"/>
        <v>357.99499046158445</v>
      </c>
    </row>
    <row r="101" spans="1:13">
      <c r="A101" s="4">
        <v>40909</v>
      </c>
      <c r="B101" s="8">
        <f t="shared" si="4"/>
        <v>0.78492935635792782</v>
      </c>
      <c r="C101" s="8"/>
      <c r="D101" s="8"/>
      <c r="E101" s="8"/>
      <c r="F101" s="8"/>
      <c r="G101" s="8"/>
      <c r="H101" s="8"/>
      <c r="I101" s="8"/>
      <c r="J101" s="8"/>
      <c r="K101" s="17">
        <f t="shared" si="5"/>
        <v>0.99999999999999989</v>
      </c>
      <c r="M101" s="24">
        <f t="shared" si="6"/>
        <v>357.99499046158445</v>
      </c>
    </row>
    <row r="102" spans="1:13">
      <c r="A102" s="4">
        <v>40940</v>
      </c>
      <c r="B102" s="8">
        <f t="shared" si="4"/>
        <v>0.78492935635792782</v>
      </c>
      <c r="C102" s="8"/>
      <c r="D102" s="8"/>
      <c r="E102" s="8"/>
      <c r="F102" s="8"/>
      <c r="G102" s="8"/>
      <c r="H102" s="8"/>
      <c r="I102" s="8"/>
      <c r="J102" s="8"/>
      <c r="K102" s="17">
        <f t="shared" si="5"/>
        <v>0.99999999999999989</v>
      </c>
      <c r="M102" s="24">
        <f t="shared" si="6"/>
        <v>357.99499046158445</v>
      </c>
    </row>
    <row r="103" spans="1:13">
      <c r="A103" s="4">
        <v>40969</v>
      </c>
      <c r="B103" s="8">
        <f t="shared" si="4"/>
        <v>0.78492935635792782</v>
      </c>
      <c r="C103" s="8"/>
      <c r="D103" s="8"/>
      <c r="E103" s="8"/>
      <c r="F103" s="8"/>
      <c r="G103" s="8"/>
      <c r="H103" s="8"/>
      <c r="I103" s="8"/>
      <c r="J103" s="8"/>
      <c r="K103" s="17">
        <f t="shared" si="5"/>
        <v>0.99999999999999989</v>
      </c>
      <c r="M103" s="24">
        <f t="shared" si="6"/>
        <v>357.99499046158445</v>
      </c>
    </row>
    <row r="104" spans="1:13">
      <c r="A104" s="4">
        <v>41000</v>
      </c>
      <c r="B104" s="8">
        <f t="shared" si="4"/>
        <v>0.78492935635792782</v>
      </c>
      <c r="C104" s="8"/>
      <c r="D104" s="8"/>
      <c r="E104" s="8"/>
      <c r="F104" s="8"/>
      <c r="G104" s="8"/>
      <c r="H104" s="8"/>
      <c r="I104" s="8"/>
      <c r="J104" s="8"/>
      <c r="K104" s="17">
        <f t="shared" si="5"/>
        <v>0.99999999999999989</v>
      </c>
      <c r="M104" s="24">
        <f t="shared" si="6"/>
        <v>357.99499046158445</v>
      </c>
    </row>
    <row r="105" spans="1:13">
      <c r="A105" s="4">
        <v>41030</v>
      </c>
      <c r="B105" s="8">
        <f t="shared" si="4"/>
        <v>0.78492935635792782</v>
      </c>
      <c r="C105" s="8"/>
      <c r="D105" s="8"/>
      <c r="E105" s="8"/>
      <c r="F105" s="8"/>
      <c r="G105" s="8"/>
      <c r="H105" s="8"/>
      <c r="I105" s="8"/>
      <c r="J105" s="8"/>
      <c r="K105" s="17">
        <f t="shared" si="5"/>
        <v>0.99999999999999989</v>
      </c>
      <c r="M105" s="24">
        <f t="shared" si="6"/>
        <v>357.99499046158445</v>
      </c>
    </row>
    <row r="106" spans="1:13">
      <c r="A106" s="4">
        <v>41061</v>
      </c>
      <c r="B106" s="8">
        <f t="shared" si="4"/>
        <v>0.78492935635792782</v>
      </c>
      <c r="C106" s="8"/>
      <c r="D106" s="8"/>
      <c r="E106" s="8"/>
      <c r="F106" s="8"/>
      <c r="G106" s="8"/>
      <c r="H106" s="8"/>
      <c r="I106" s="8"/>
      <c r="J106" s="8"/>
      <c r="K106" s="17">
        <f t="shared" si="5"/>
        <v>0.99999999999999989</v>
      </c>
      <c r="M106" s="24">
        <f t="shared" si="6"/>
        <v>357.99499046158445</v>
      </c>
    </row>
    <row r="107" spans="1:13">
      <c r="A107" s="4">
        <v>41091</v>
      </c>
      <c r="B107" s="8">
        <f t="shared" si="4"/>
        <v>0.78492935635792782</v>
      </c>
      <c r="C107" s="8"/>
      <c r="D107" s="8"/>
      <c r="E107" s="8"/>
      <c r="F107" s="8"/>
      <c r="G107" s="8"/>
      <c r="H107" s="8"/>
      <c r="I107" s="8"/>
      <c r="J107" s="8"/>
      <c r="K107" s="17">
        <f t="shared" si="5"/>
        <v>0.99999999999999989</v>
      </c>
      <c r="M107" s="24">
        <f t="shared" si="6"/>
        <v>357.99499046158445</v>
      </c>
    </row>
    <row r="108" spans="1:13">
      <c r="A108" s="4">
        <v>41122</v>
      </c>
      <c r="B108" s="8">
        <f t="shared" si="4"/>
        <v>0.78492935635792782</v>
      </c>
      <c r="C108" s="8"/>
      <c r="D108" s="8"/>
      <c r="E108" s="8"/>
      <c r="F108" s="8"/>
      <c r="G108" s="8"/>
      <c r="H108" s="8"/>
      <c r="I108" s="8"/>
      <c r="J108" s="8"/>
      <c r="K108" s="17">
        <f t="shared" si="5"/>
        <v>0.99999999999999989</v>
      </c>
      <c r="M108" s="24">
        <f t="shared" si="6"/>
        <v>357.99499046158445</v>
      </c>
    </row>
    <row r="109" spans="1:13">
      <c r="A109" s="4">
        <v>41153</v>
      </c>
      <c r="B109" s="8">
        <f t="shared" si="4"/>
        <v>0.78492935635792782</v>
      </c>
      <c r="C109" s="8"/>
      <c r="D109" s="8"/>
      <c r="E109" s="8"/>
      <c r="F109" s="8"/>
      <c r="G109" s="8"/>
      <c r="H109" s="8"/>
      <c r="I109" s="8"/>
      <c r="J109" s="8"/>
      <c r="K109" s="17">
        <f t="shared" si="5"/>
        <v>0.99999999999999989</v>
      </c>
      <c r="M109" s="24">
        <f t="shared" si="6"/>
        <v>357.99499046158445</v>
      </c>
    </row>
    <row r="110" spans="1:13">
      <c r="A110" s="4">
        <v>41183</v>
      </c>
      <c r="B110" s="8">
        <f t="shared" si="4"/>
        <v>0.78492935635792782</v>
      </c>
      <c r="C110" s="8"/>
      <c r="D110" s="8"/>
      <c r="E110" s="8"/>
      <c r="F110" s="8"/>
      <c r="G110" s="8"/>
      <c r="H110" s="8"/>
      <c r="I110" s="8"/>
      <c r="J110" s="8"/>
      <c r="K110" s="17">
        <f t="shared" si="5"/>
        <v>0.99999999999999989</v>
      </c>
      <c r="M110" s="24">
        <f t="shared" si="6"/>
        <v>357.99499046158445</v>
      </c>
    </row>
    <row r="111" spans="1:13">
      <c r="A111" s="4">
        <v>41214</v>
      </c>
      <c r="B111" s="8">
        <f t="shared" si="4"/>
        <v>0.78492935635792782</v>
      </c>
      <c r="C111" s="8"/>
      <c r="D111" s="8"/>
      <c r="E111" s="8"/>
      <c r="F111" s="8"/>
      <c r="G111" s="8"/>
      <c r="H111" s="8"/>
      <c r="I111" s="8"/>
      <c r="J111" s="8"/>
      <c r="K111" s="17">
        <f t="shared" si="5"/>
        <v>0.99999999999999989</v>
      </c>
      <c r="M111" s="24">
        <f t="shared" si="6"/>
        <v>357.99499046158445</v>
      </c>
    </row>
    <row r="112" spans="1:13">
      <c r="A112" s="4">
        <v>41244</v>
      </c>
      <c r="B112" s="8">
        <f t="shared" si="4"/>
        <v>0.78492935635792782</v>
      </c>
      <c r="C112" s="8"/>
      <c r="D112" s="8"/>
      <c r="E112" s="8"/>
      <c r="F112" s="8"/>
      <c r="G112" s="8"/>
      <c r="H112" s="8"/>
      <c r="I112" s="8"/>
      <c r="J112" s="8"/>
      <c r="K112" s="17">
        <f t="shared" si="5"/>
        <v>0.99999999999999989</v>
      </c>
      <c r="M112" s="24">
        <f t="shared" si="6"/>
        <v>357.99499046158445</v>
      </c>
    </row>
    <row r="113" spans="1:13">
      <c r="A113" s="4">
        <v>41275</v>
      </c>
      <c r="B113" s="8">
        <f t="shared" si="4"/>
        <v>0.78492935635792782</v>
      </c>
      <c r="C113" s="8"/>
      <c r="D113" s="8"/>
      <c r="E113" s="8"/>
      <c r="F113" s="8"/>
      <c r="G113" s="8"/>
      <c r="H113" s="8"/>
      <c r="I113" s="8"/>
      <c r="J113" s="8"/>
      <c r="K113" s="17">
        <f t="shared" si="5"/>
        <v>0.99999999999999989</v>
      </c>
      <c r="M113" s="24">
        <f t="shared" si="6"/>
        <v>357.99499046158445</v>
      </c>
    </row>
    <row r="114" spans="1:13">
      <c r="A114" s="4">
        <v>41306</v>
      </c>
      <c r="B114" s="8">
        <f t="shared" si="4"/>
        <v>0.78492935635792782</v>
      </c>
      <c r="C114" s="8"/>
      <c r="D114" s="8"/>
      <c r="E114" s="8"/>
      <c r="F114" s="8"/>
      <c r="G114" s="8"/>
      <c r="H114" s="8"/>
      <c r="I114" s="8"/>
      <c r="J114" s="8"/>
      <c r="K114" s="17">
        <f t="shared" si="5"/>
        <v>0.99999999999999989</v>
      </c>
      <c r="M114" s="24">
        <f t="shared" si="6"/>
        <v>357.99499046158445</v>
      </c>
    </row>
    <row r="115" spans="1:13">
      <c r="A115" s="4">
        <v>41334</v>
      </c>
      <c r="B115" s="8">
        <f t="shared" si="4"/>
        <v>0.78492935635792782</v>
      </c>
      <c r="C115" s="8"/>
      <c r="D115" s="8"/>
      <c r="E115" s="8"/>
      <c r="F115" s="8"/>
      <c r="G115" s="8"/>
      <c r="H115" s="8"/>
      <c r="I115" s="8"/>
      <c r="J115" s="8"/>
      <c r="K115" s="17">
        <f t="shared" si="5"/>
        <v>0.99999999999999989</v>
      </c>
      <c r="M115" s="24">
        <f t="shared" si="6"/>
        <v>357.99499046158445</v>
      </c>
    </row>
    <row r="116" spans="1:13">
      <c r="A116" s="4">
        <v>41365</v>
      </c>
      <c r="B116" s="8">
        <f t="shared" si="4"/>
        <v>0.78492935635792782</v>
      </c>
      <c r="C116" s="8"/>
      <c r="D116" s="8"/>
      <c r="E116" s="8"/>
      <c r="F116" s="8"/>
      <c r="G116" s="8"/>
      <c r="H116" s="8"/>
      <c r="I116" s="8"/>
      <c r="J116" s="8"/>
      <c r="K116" s="17">
        <f t="shared" si="5"/>
        <v>0.99999999999999989</v>
      </c>
      <c r="M116" s="24">
        <f t="shared" si="6"/>
        <v>357.99499046158445</v>
      </c>
    </row>
    <row r="117" spans="1:13">
      <c r="A117" s="4">
        <v>41395</v>
      </c>
      <c r="B117" s="8">
        <f t="shared" si="4"/>
        <v>0.78492935635792782</v>
      </c>
      <c r="C117" s="8"/>
      <c r="D117" s="8"/>
      <c r="E117" s="8"/>
      <c r="F117" s="8"/>
      <c r="G117" s="8"/>
      <c r="H117" s="8"/>
      <c r="I117" s="8"/>
      <c r="J117" s="8"/>
      <c r="K117" s="17">
        <f t="shared" si="5"/>
        <v>0.99999999999999989</v>
      </c>
      <c r="M117" s="24">
        <f t="shared" si="6"/>
        <v>357.99499046158445</v>
      </c>
    </row>
    <row r="118" spans="1:13">
      <c r="A118" s="4">
        <v>41426</v>
      </c>
      <c r="B118" s="8">
        <f t="shared" si="4"/>
        <v>0.78492935635792782</v>
      </c>
      <c r="C118" s="8"/>
      <c r="D118" s="8"/>
      <c r="E118" s="8"/>
      <c r="F118" s="8"/>
      <c r="G118" s="8"/>
      <c r="H118" s="8"/>
      <c r="I118" s="8"/>
      <c r="J118" s="8"/>
      <c r="K118" s="17">
        <f t="shared" si="5"/>
        <v>0.99999999999999989</v>
      </c>
      <c r="M118" s="24">
        <f t="shared" si="6"/>
        <v>357.99499046158445</v>
      </c>
    </row>
    <row r="119" spans="1:13">
      <c r="A119" s="4">
        <v>41456</v>
      </c>
      <c r="B119" s="8">
        <f t="shared" si="4"/>
        <v>0.78492935635792782</v>
      </c>
      <c r="C119" s="8"/>
      <c r="D119" s="8"/>
      <c r="E119" s="8"/>
      <c r="F119" s="8"/>
      <c r="G119" s="8"/>
      <c r="H119" s="8"/>
      <c r="I119" s="8"/>
      <c r="J119" s="8"/>
      <c r="K119" s="17">
        <f t="shared" si="5"/>
        <v>0.99999999999999989</v>
      </c>
      <c r="M119" s="24">
        <f t="shared" si="6"/>
        <v>357.99499046158445</v>
      </c>
    </row>
    <row r="120" spans="1:13">
      <c r="A120" s="4">
        <v>41487</v>
      </c>
      <c r="B120" s="8">
        <f t="shared" si="4"/>
        <v>0.78492935635792782</v>
      </c>
      <c r="C120" s="8"/>
      <c r="D120" s="8"/>
      <c r="E120" s="8"/>
      <c r="F120" s="8"/>
      <c r="G120" s="8"/>
      <c r="H120" s="8"/>
      <c r="I120" s="8"/>
      <c r="J120" s="8"/>
      <c r="K120" s="17">
        <f t="shared" si="5"/>
        <v>0.99999999999999989</v>
      </c>
      <c r="M120" s="24">
        <f t="shared" si="6"/>
        <v>357.99499046158445</v>
      </c>
    </row>
    <row r="121" spans="1:13">
      <c r="A121" s="4">
        <v>41518</v>
      </c>
      <c r="B121" s="8">
        <f t="shared" si="4"/>
        <v>0.78492935635792782</v>
      </c>
      <c r="C121" s="8"/>
      <c r="D121" s="8"/>
      <c r="E121" s="8"/>
      <c r="F121" s="8"/>
      <c r="G121" s="8"/>
      <c r="H121" s="8"/>
      <c r="I121" s="8"/>
      <c r="J121" s="8"/>
      <c r="K121" s="17">
        <f t="shared" si="5"/>
        <v>0.99999999999999989</v>
      </c>
      <c r="M121" s="24">
        <f t="shared" si="6"/>
        <v>357.99499046158445</v>
      </c>
    </row>
    <row r="122" spans="1:13">
      <c r="A122" s="4">
        <v>41548</v>
      </c>
      <c r="B122" s="8">
        <f t="shared" si="4"/>
        <v>0.78492935635792782</v>
      </c>
      <c r="C122" s="8"/>
      <c r="D122" s="8"/>
      <c r="E122" s="8"/>
      <c r="F122" s="8"/>
      <c r="G122" s="8"/>
      <c r="H122" s="8"/>
      <c r="I122" s="8"/>
      <c r="J122" s="8"/>
      <c r="K122" s="17">
        <f t="shared" si="5"/>
        <v>0.99999999999999989</v>
      </c>
      <c r="M122" s="24">
        <f t="shared" si="6"/>
        <v>357.99499046158445</v>
      </c>
    </row>
    <row r="123" spans="1:13">
      <c r="A123" s="4">
        <v>41579</v>
      </c>
      <c r="B123" s="8">
        <f t="shared" si="4"/>
        <v>0.78492935635792782</v>
      </c>
      <c r="C123" s="8"/>
      <c r="D123" s="8"/>
      <c r="E123" s="8"/>
      <c r="F123" s="8"/>
      <c r="G123" s="8"/>
      <c r="H123" s="8"/>
      <c r="I123" s="8"/>
      <c r="J123" s="8"/>
      <c r="K123" s="17">
        <f t="shared" si="5"/>
        <v>0.99999999999999989</v>
      </c>
      <c r="M123" s="24">
        <f t="shared" si="6"/>
        <v>357.99499046158445</v>
      </c>
    </row>
    <row r="124" spans="1:13">
      <c r="A124" s="4">
        <v>41609</v>
      </c>
      <c r="B124" s="8">
        <f t="shared" si="4"/>
        <v>0.78492935635792782</v>
      </c>
      <c r="C124" s="8"/>
      <c r="D124" s="8"/>
      <c r="E124" s="8"/>
      <c r="F124" s="8"/>
      <c r="G124" s="8"/>
      <c r="H124" s="8"/>
      <c r="I124" s="8"/>
      <c r="J124" s="8"/>
      <c r="K124" s="17">
        <f t="shared" si="5"/>
        <v>0.99999999999999989</v>
      </c>
      <c r="M124" s="24">
        <f t="shared" si="6"/>
        <v>357.99499046158445</v>
      </c>
    </row>
    <row r="125" spans="1:13">
      <c r="A125" s="4">
        <v>41640</v>
      </c>
      <c r="B125" s="8">
        <f t="shared" si="4"/>
        <v>1</v>
      </c>
      <c r="C125" s="8"/>
      <c r="D125" s="8"/>
      <c r="E125" s="8"/>
      <c r="F125" s="8"/>
      <c r="G125" s="8"/>
      <c r="H125" s="8"/>
      <c r="I125" s="8"/>
      <c r="J125" s="8"/>
      <c r="K125" s="17">
        <f t="shared" si="5"/>
        <v>1.2739999999999998</v>
      </c>
      <c r="M125" s="24">
        <f t="shared" si="6"/>
        <v>357.99499046158445</v>
      </c>
    </row>
    <row r="126" spans="1:13">
      <c r="A126" s="4">
        <v>41671</v>
      </c>
      <c r="B126" s="8">
        <f t="shared" si="4"/>
        <v>1</v>
      </c>
      <c r="C126" s="8"/>
      <c r="D126" s="8"/>
      <c r="E126" s="8"/>
      <c r="F126" s="8"/>
      <c r="G126" s="8"/>
      <c r="H126" s="8"/>
      <c r="I126" s="8"/>
      <c r="J126" s="8"/>
      <c r="K126" s="17">
        <f t="shared" si="5"/>
        <v>1.2739999999999998</v>
      </c>
      <c r="M126" s="24">
        <f t="shared" si="6"/>
        <v>357.99499046158445</v>
      </c>
    </row>
    <row r="127" spans="1:13">
      <c r="A127" s="4">
        <v>41699</v>
      </c>
      <c r="B127" s="8">
        <f t="shared" si="4"/>
        <v>1</v>
      </c>
      <c r="C127" s="8"/>
      <c r="D127" s="8"/>
      <c r="E127" s="8"/>
      <c r="F127" s="8"/>
      <c r="G127" s="8"/>
      <c r="H127" s="8"/>
      <c r="I127" s="8"/>
      <c r="J127" s="8"/>
      <c r="K127" s="17">
        <f t="shared" si="5"/>
        <v>1.2739999999999998</v>
      </c>
      <c r="M127" s="24">
        <f t="shared" si="6"/>
        <v>357.99499046158445</v>
      </c>
    </row>
    <row r="128" spans="1:13">
      <c r="A128" s="4">
        <v>41730</v>
      </c>
      <c r="B128" s="8">
        <f t="shared" si="4"/>
        <v>1</v>
      </c>
      <c r="C128" s="8"/>
      <c r="D128" s="8"/>
      <c r="E128" s="8"/>
      <c r="F128" s="8"/>
      <c r="G128" s="8"/>
      <c r="H128" s="8"/>
      <c r="I128" s="8"/>
      <c r="J128" s="8"/>
      <c r="K128" s="17">
        <f t="shared" si="5"/>
        <v>1.2739999999999998</v>
      </c>
      <c r="M128" s="24">
        <f t="shared" si="6"/>
        <v>357.99499046158445</v>
      </c>
    </row>
    <row r="129" spans="1:13">
      <c r="A129" s="4">
        <v>41760</v>
      </c>
      <c r="B129" s="8">
        <f t="shared" si="4"/>
        <v>1</v>
      </c>
      <c r="C129" s="8"/>
      <c r="D129" s="8"/>
      <c r="E129" s="8"/>
      <c r="F129" s="8"/>
      <c r="G129" s="8"/>
      <c r="H129" s="8"/>
      <c r="I129" s="8"/>
      <c r="J129" s="8"/>
      <c r="K129" s="17">
        <f t="shared" si="5"/>
        <v>1.2739999999999998</v>
      </c>
      <c r="M129" s="24">
        <f t="shared" si="6"/>
        <v>357.99499046158445</v>
      </c>
    </row>
    <row r="130" spans="1:13">
      <c r="A130" s="4">
        <v>41791</v>
      </c>
      <c r="B130" s="8">
        <f t="shared" si="4"/>
        <v>1</v>
      </c>
      <c r="C130" s="8"/>
      <c r="D130" s="8"/>
      <c r="E130" s="8"/>
      <c r="F130" s="8"/>
      <c r="G130" s="8"/>
      <c r="H130" s="8"/>
      <c r="I130" s="8"/>
      <c r="J130" s="8"/>
      <c r="K130" s="17">
        <f t="shared" si="5"/>
        <v>1.2739999999999998</v>
      </c>
      <c r="M130" s="24">
        <f t="shared" si="6"/>
        <v>357.99499046158445</v>
      </c>
    </row>
    <row r="131" spans="1:13">
      <c r="A131" s="4">
        <v>41821</v>
      </c>
      <c r="B131" s="8">
        <f t="shared" si="4"/>
        <v>1</v>
      </c>
      <c r="C131" s="8"/>
      <c r="D131" s="8"/>
      <c r="E131" s="8"/>
      <c r="F131" s="8"/>
      <c r="G131" s="8"/>
      <c r="H131" s="8"/>
      <c r="I131" s="8"/>
      <c r="J131" s="8"/>
      <c r="K131" s="17">
        <f t="shared" si="5"/>
        <v>1.2739999999999998</v>
      </c>
      <c r="M131" s="24">
        <f t="shared" si="6"/>
        <v>357.99499046158445</v>
      </c>
    </row>
    <row r="132" spans="1:13">
      <c r="A132" s="4">
        <v>41852</v>
      </c>
      <c r="B132" s="8">
        <f t="shared" si="4"/>
        <v>1</v>
      </c>
      <c r="C132" s="8"/>
      <c r="D132" s="8"/>
      <c r="E132" s="8"/>
      <c r="F132" s="8"/>
      <c r="G132" s="8"/>
      <c r="H132" s="8"/>
      <c r="I132" s="8"/>
      <c r="J132" s="8"/>
      <c r="K132" s="17">
        <f t="shared" si="5"/>
        <v>1.2739999999999998</v>
      </c>
      <c r="M132" s="24">
        <f t="shared" si="6"/>
        <v>357.99499046158445</v>
      </c>
    </row>
    <row r="133" spans="1:13">
      <c r="A133" s="4">
        <v>41883</v>
      </c>
      <c r="B133" s="8">
        <f t="shared" si="4"/>
        <v>1</v>
      </c>
      <c r="C133" s="8"/>
      <c r="D133" s="8"/>
      <c r="E133" s="8"/>
      <c r="F133" s="8"/>
      <c r="G133" s="8"/>
      <c r="H133" s="8"/>
      <c r="I133" s="8"/>
      <c r="J133" s="8"/>
      <c r="K133" s="17">
        <f t="shared" si="5"/>
        <v>1.2739999999999998</v>
      </c>
      <c r="M133" s="24">
        <f t="shared" si="6"/>
        <v>357.99499046158445</v>
      </c>
    </row>
    <row r="134" spans="1:13">
      <c r="A134" s="4">
        <v>41913</v>
      </c>
      <c r="B134" s="8">
        <f t="shared" si="4"/>
        <v>1</v>
      </c>
      <c r="C134" s="8"/>
      <c r="D134" s="8"/>
      <c r="E134" s="8"/>
      <c r="F134" s="8"/>
      <c r="G134" s="8"/>
      <c r="H134" s="8"/>
      <c r="I134" s="8"/>
      <c r="J134" s="8"/>
      <c r="K134" s="17">
        <f t="shared" si="5"/>
        <v>1.2739999999999998</v>
      </c>
      <c r="M134" s="24">
        <f t="shared" si="6"/>
        <v>357.99499046158445</v>
      </c>
    </row>
    <row r="135" spans="1:13">
      <c r="A135" s="4">
        <v>41944</v>
      </c>
      <c r="B135" s="8">
        <f t="shared" si="4"/>
        <v>1</v>
      </c>
      <c r="C135" s="8"/>
      <c r="D135" s="8"/>
      <c r="E135" s="8"/>
      <c r="F135" s="8"/>
      <c r="G135" s="8"/>
      <c r="H135" s="8"/>
      <c r="I135" s="8"/>
      <c r="J135" s="8"/>
      <c r="K135" s="17">
        <f t="shared" si="5"/>
        <v>1.2739999999999998</v>
      </c>
      <c r="M135" s="24">
        <f t="shared" si="6"/>
        <v>357.99499046158445</v>
      </c>
    </row>
    <row r="136" spans="1:13">
      <c r="A136" s="4">
        <v>41974</v>
      </c>
      <c r="B136" s="8">
        <f t="shared" si="4"/>
        <v>1</v>
      </c>
      <c r="C136" s="8"/>
      <c r="D136" s="8"/>
      <c r="E136" s="8"/>
      <c r="F136" s="8"/>
      <c r="G136" s="8"/>
      <c r="H136" s="8"/>
      <c r="I136" s="8"/>
      <c r="J136" s="8"/>
      <c r="K136" s="17">
        <f t="shared" si="5"/>
        <v>1.2739999999999998</v>
      </c>
      <c r="M136" s="24">
        <f t="shared" si="6"/>
        <v>357.99499046158445</v>
      </c>
    </row>
    <row r="139" spans="1:13">
      <c r="A139" s="6"/>
    </row>
    <row r="140" spans="1:13">
      <c r="A140" s="10"/>
      <c r="B140" s="8"/>
      <c r="C140" s="8"/>
      <c r="D140" s="8"/>
      <c r="E140" s="8"/>
      <c r="F140" s="8"/>
      <c r="G140" s="8"/>
      <c r="H140" s="8"/>
      <c r="I140" s="8"/>
      <c r="J140" s="8"/>
    </row>
    <row r="141" spans="1:13">
      <c r="A141" s="10"/>
      <c r="B141" s="8"/>
      <c r="C141" s="8"/>
      <c r="D141" s="8"/>
      <c r="E141" s="8"/>
      <c r="F141" s="8"/>
      <c r="G141" s="8"/>
      <c r="H141" s="8"/>
      <c r="I141" s="8"/>
      <c r="J141" s="8"/>
    </row>
    <row r="142" spans="1:13">
      <c r="A142" s="10"/>
      <c r="B142" s="8"/>
      <c r="C142" s="8"/>
      <c r="D142" s="8"/>
      <c r="E142" s="8"/>
      <c r="F142" s="8"/>
      <c r="G142" s="8"/>
      <c r="H142" s="8"/>
      <c r="I142" s="8"/>
      <c r="J142" s="8"/>
    </row>
    <row r="143" spans="1:13">
      <c r="A143" s="10"/>
      <c r="B143" s="8"/>
      <c r="C143" s="8"/>
      <c r="D143" s="8"/>
      <c r="E143" s="8"/>
      <c r="F143" s="8"/>
      <c r="G143" s="8"/>
      <c r="H143" s="8"/>
      <c r="I143" s="8"/>
      <c r="J143" s="8"/>
    </row>
    <row r="144" spans="1:13">
      <c r="A144" s="10"/>
      <c r="B144" s="8"/>
      <c r="C144" s="8"/>
      <c r="D144" s="8"/>
      <c r="E144" s="8"/>
      <c r="F144" s="8"/>
      <c r="G144" s="8"/>
      <c r="H144" s="8"/>
      <c r="I144" s="8"/>
      <c r="J144" s="8"/>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Charts</vt:lpstr>
      </vt:variant>
      <vt:variant>
        <vt:i4>7</vt:i4>
      </vt:variant>
    </vt:vector>
  </HeadingPairs>
  <TitlesOfParts>
    <vt:vector size="31" baseType="lpstr">
      <vt:lpstr>README</vt:lpstr>
      <vt:lpstr>Tbl3.3</vt:lpstr>
      <vt:lpstr>UIElg</vt:lpstr>
      <vt:lpstr>UIBen</vt:lpstr>
      <vt:lpstr>UIWeights</vt:lpstr>
      <vt:lpstr>SNAPElg</vt:lpstr>
      <vt:lpstr>SNAPBen</vt:lpstr>
      <vt:lpstr>SNAPWeights</vt:lpstr>
      <vt:lpstr>MedicaidElgBen</vt:lpstr>
      <vt:lpstr>MedicaidWeights</vt:lpstr>
      <vt:lpstr>OtherElgBen</vt:lpstr>
      <vt:lpstr>LFSWeights</vt:lpstr>
      <vt:lpstr>Tbl3.5</vt:lpstr>
      <vt:lpstr>GovGener</vt:lpstr>
      <vt:lpstr>AvgMargWorker</vt:lpstr>
      <vt:lpstr>Decomposition</vt:lpstr>
      <vt:lpstr>Ch6Output</vt:lpstr>
      <vt:lpstr>Ch3TextBackup</vt:lpstr>
      <vt:lpstr>FREDconnect</vt:lpstr>
      <vt:lpstr>CPSMORG</vt:lpstr>
      <vt:lpstr>vshours</vt:lpstr>
      <vt:lpstr>Quarterly</vt:lpstr>
      <vt:lpstr>Tbl3.8</vt:lpstr>
      <vt:lpstr>Tbl3.9</vt:lpstr>
      <vt:lpstr>Fig1.1</vt:lpstr>
      <vt:lpstr>Fig3.2</vt:lpstr>
      <vt:lpstr>Fig3.3</vt:lpstr>
      <vt:lpstr>Fig3.4</vt:lpstr>
      <vt:lpstr>Fig3.6</vt:lpstr>
      <vt:lpstr>Fig3.7</vt:lpstr>
      <vt:lpstr>Fig11.2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 Mulligan</dc:creator>
  <cp:lastModifiedBy>pubdat</cp:lastModifiedBy>
  <dcterms:created xsi:type="dcterms:W3CDTF">2012-04-18T22:58:20Z</dcterms:created>
  <dcterms:modified xsi:type="dcterms:W3CDTF">2012-05-17T14:26:28Z</dcterms:modified>
</cp:coreProperties>
</file>