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180" windowWidth="38325" windowHeight="20985"/>
  </bookViews>
  <sheets>
    <sheet name="README" sheetId="17" r:id="rId1"/>
    <sheet name="FY2010dollars" sheetId="1" r:id="rId2"/>
    <sheet name="Table1" sheetId="6" r:id="rId3"/>
    <sheet name="Parameters" sheetId="2" r:id="rId4"/>
    <sheet name="Components" sheetId="7" r:id="rId5"/>
    <sheet name="ChartComponents" sheetId="16" r:id="rId6"/>
    <sheet name="WgtDetail" sheetId="8" r:id="rId7"/>
    <sheet name="Sensitivity" sheetId="14" r:id="rId8"/>
    <sheet name="MAparameters" sheetId="11" r:id="rId9"/>
    <sheet name="MATable1" sheetId="12" r:id="rId10"/>
    <sheet name="ACAvsMA" sheetId="13" r:id="rId11"/>
    <sheet name="TextBackupMA" sheetId="18" r:id="rId12"/>
    <sheet name="TextBackupACA" sheetId="15" r:id="rId13"/>
    <sheet name="FREDconnect" sheetId="3" r:id="rId14"/>
    <sheet name="CoveragebyFTQuantile" sheetId="9" r:id="rId15"/>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36" i="18" l="1"/>
  <c r="B9" i="9"/>
  <c r="B13" i="9"/>
  <c r="B37" i="9"/>
  <c r="B7" i="9"/>
  <c r="B30" i="9"/>
  <c r="B8" i="9"/>
  <c r="B31" i="9"/>
  <c r="B10" i="9"/>
  <c r="B20" i="9"/>
  <c r="B21" i="9"/>
  <c r="B14" i="9"/>
  <c r="B33" i="9"/>
  <c r="B15" i="9"/>
  <c r="B34" i="9"/>
  <c r="B11" i="9"/>
  <c r="B35" i="9"/>
  <c r="B12" i="9"/>
  <c r="B36" i="9"/>
  <c r="B32" i="9"/>
  <c r="B48" i="9"/>
  <c r="B42" i="9"/>
  <c r="B43" i="9"/>
  <c r="B57" i="9"/>
  <c r="I7" i="8"/>
  <c r="I9" i="8"/>
  <c r="B45" i="9"/>
  <c r="B59" i="9"/>
  <c r="I14" i="8"/>
  <c r="I16" i="8"/>
  <c r="B41" i="9"/>
  <c r="B55" i="9"/>
  <c r="D7" i="9"/>
  <c r="D30" i="9"/>
  <c r="D13" i="9"/>
  <c r="D37" i="9"/>
  <c r="D48" i="9"/>
  <c r="D8" i="9"/>
  <c r="C13" i="9"/>
  <c r="B50" i="9"/>
  <c r="D31" i="9"/>
  <c r="D42" i="9"/>
  <c r="D41" i="9"/>
  <c r="D55" i="9"/>
  <c r="I21" i="8"/>
  <c r="I23" i="8"/>
  <c r="F13" i="9"/>
  <c r="E13" i="9"/>
  <c r="G13" i="9"/>
  <c r="F37" i="9"/>
  <c r="F48" i="9"/>
  <c r="C37" i="9"/>
  <c r="C48" i="9"/>
  <c r="E37" i="9"/>
  <c r="E48" i="9"/>
  <c r="G37" i="9"/>
  <c r="G48" i="9"/>
  <c r="H48" i="9"/>
  <c r="I28" i="8"/>
  <c r="I30" i="8"/>
  <c r="B21" i="6"/>
  <c r="B20" i="12"/>
  <c r="C20" i="12"/>
  <c r="C7" i="9"/>
  <c r="C30" i="9"/>
  <c r="C41" i="9"/>
  <c r="C55" i="9"/>
  <c r="E7" i="9"/>
  <c r="E30" i="9"/>
  <c r="E41" i="9"/>
  <c r="E55" i="9"/>
  <c r="G25" i="8"/>
  <c r="I25" i="8"/>
  <c r="E25" i="8"/>
  <c r="B22" i="6"/>
  <c r="B21" i="12"/>
  <c r="C21" i="12"/>
  <c r="C30" i="12"/>
  <c r="D20" i="12"/>
  <c r="D21" i="12"/>
  <c r="B56" i="9"/>
  <c r="G7" i="8"/>
  <c r="D25" i="6"/>
  <c r="E7" i="8"/>
  <c r="E9" i="8"/>
  <c r="G9" i="8"/>
  <c r="C8" i="9"/>
  <c r="C31" i="9"/>
  <c r="C42" i="9"/>
  <c r="C56" i="9"/>
  <c r="E11" i="8"/>
  <c r="B25" i="6"/>
  <c r="C25" i="6"/>
  <c r="D24" i="12"/>
  <c r="D30" i="12"/>
  <c r="A37" i="18"/>
  <c r="D21" i="6"/>
  <c r="C9" i="9"/>
  <c r="C10" i="9"/>
  <c r="C20" i="9"/>
  <c r="C21" i="9"/>
  <c r="C14" i="9"/>
  <c r="C33" i="9"/>
  <c r="C15" i="9"/>
  <c r="C34" i="9"/>
  <c r="C11" i="9"/>
  <c r="C35" i="9"/>
  <c r="C12" i="9"/>
  <c r="C36" i="9"/>
  <c r="C32" i="9"/>
  <c r="C43" i="9"/>
  <c r="C57" i="9"/>
  <c r="G11" i="8"/>
  <c r="I11" i="8"/>
  <c r="C45" i="9"/>
  <c r="C59" i="9"/>
  <c r="G18" i="8"/>
  <c r="I18" i="8"/>
  <c r="B23" i="6"/>
  <c r="C23" i="6"/>
  <c r="D23" i="6"/>
  <c r="B24" i="6"/>
  <c r="C24" i="6"/>
  <c r="D24" i="6"/>
  <c r="H12" i="9"/>
  <c r="B27" i="6"/>
  <c r="C27" i="6"/>
  <c r="D27" i="6"/>
  <c r="B66" i="9"/>
  <c r="C66" i="9"/>
  <c r="D66" i="9"/>
  <c r="E66" i="9"/>
  <c r="F7" i="9"/>
  <c r="F30" i="9"/>
  <c r="F8" i="9"/>
  <c r="F31" i="9"/>
  <c r="F42" i="9"/>
  <c r="F41" i="9"/>
  <c r="F55" i="9"/>
  <c r="F66" i="9"/>
  <c r="G7" i="9"/>
  <c r="G30" i="9"/>
  <c r="G41" i="9"/>
  <c r="G55" i="9"/>
  <c r="G66" i="9"/>
  <c r="H66" i="9"/>
  <c r="B29" i="6"/>
  <c r="C29" i="6"/>
  <c r="D29" i="6"/>
  <c r="D31" i="6"/>
  <c r="A48" i="18"/>
  <c r="C47" i="18"/>
  <c r="A47" i="18"/>
  <c r="A46" i="18"/>
  <c r="B22" i="12"/>
  <c r="B7" i="13"/>
  <c r="B10" i="7"/>
  <c r="F10" i="7"/>
  <c r="C7" i="13"/>
  <c r="A45" i="18"/>
  <c r="A44" i="18"/>
  <c r="B9" i="7"/>
  <c r="C21" i="6"/>
  <c r="C9" i="7"/>
  <c r="D9" i="7"/>
  <c r="F9" i="7"/>
  <c r="C6" i="13"/>
  <c r="B11" i="7"/>
  <c r="C11" i="7"/>
  <c r="D11" i="7"/>
  <c r="F11" i="7"/>
  <c r="C8" i="13"/>
  <c r="B12" i="7"/>
  <c r="C12" i="7"/>
  <c r="D12" i="7"/>
  <c r="F12" i="7"/>
  <c r="C9" i="13"/>
  <c r="B13" i="7"/>
  <c r="C13" i="7"/>
  <c r="D13" i="7"/>
  <c r="F13" i="7"/>
  <c r="C10" i="13"/>
  <c r="B15" i="7"/>
  <c r="C15" i="7"/>
  <c r="D15" i="7"/>
  <c r="F15" i="7"/>
  <c r="C12" i="13"/>
  <c r="B28" i="6"/>
  <c r="B16" i="7"/>
  <c r="F16" i="7"/>
  <c r="C13" i="13"/>
  <c r="B17" i="7"/>
  <c r="C17" i="7"/>
  <c r="D17" i="7"/>
  <c r="F17" i="7"/>
  <c r="C14" i="13"/>
  <c r="C15" i="13"/>
  <c r="B6" i="13"/>
  <c r="B10" i="13"/>
  <c r="B15" i="13"/>
  <c r="D15" i="13"/>
  <c r="A42" i="18"/>
  <c r="A43" i="18"/>
  <c r="A41" i="18"/>
  <c r="C41" i="18"/>
  <c r="A40" i="18"/>
  <c r="B30" i="12"/>
  <c r="C32" i="12"/>
  <c r="A38" i="18"/>
  <c r="A39" i="18"/>
  <c r="C39" i="18"/>
  <c r="C38" i="18"/>
  <c r="A36" i="18"/>
  <c r="A35" i="18"/>
  <c r="A34" i="18"/>
  <c r="A33" i="18"/>
  <c r="A31" i="18"/>
  <c r="A30" i="18"/>
  <c r="A29" i="18"/>
  <c r="A28" i="18"/>
  <c r="A27" i="18"/>
  <c r="A26" i="18"/>
  <c r="A24" i="18"/>
  <c r="A23" i="18"/>
  <c r="A22" i="18"/>
  <c r="A21" i="18"/>
  <c r="A20" i="18"/>
  <c r="C20" i="18"/>
  <c r="A19" i="18"/>
  <c r="A18" i="18"/>
  <c r="A17" i="18"/>
  <c r="A16" i="18"/>
  <c r="A15" i="18"/>
  <c r="A13" i="18"/>
  <c r="A11" i="18"/>
  <c r="A10" i="18"/>
  <c r="A9" i="18"/>
  <c r="A8" i="18"/>
  <c r="A7" i="18"/>
  <c r="A6" i="18"/>
  <c r="A4" i="18"/>
  <c r="A5" i="18"/>
  <c r="C46" i="18"/>
  <c r="C44" i="18"/>
  <c r="C43" i="18"/>
  <c r="C42" i="18"/>
  <c r="C40" i="18"/>
  <c r="C35" i="18"/>
  <c r="C34" i="18"/>
  <c r="C33" i="18"/>
  <c r="C32" i="18"/>
  <c r="C31" i="18"/>
  <c r="C30" i="18"/>
  <c r="C29" i="18"/>
  <c r="C28" i="18"/>
  <c r="C27" i="18"/>
  <c r="C25" i="18"/>
  <c r="C24" i="18"/>
  <c r="C22" i="18"/>
  <c r="C21" i="18"/>
  <c r="C19" i="18"/>
  <c r="C18" i="18"/>
  <c r="C17" i="18"/>
  <c r="C16" i="18"/>
  <c r="C15" i="18"/>
  <c r="C14" i="18"/>
  <c r="C13" i="18"/>
  <c r="C12" i="18"/>
  <c r="C10" i="18"/>
  <c r="C8" i="18"/>
  <c r="C7" i="18"/>
  <c r="C6" i="18"/>
  <c r="C5" i="18"/>
  <c r="C4" i="18"/>
  <c r="B20" i="11"/>
  <c r="B17" i="11"/>
  <c r="B16" i="11"/>
  <c r="B21" i="11"/>
  <c r="D26" i="13"/>
  <c r="D27" i="13"/>
  <c r="E26" i="13"/>
  <c r="D25" i="13"/>
  <c r="E25" i="13"/>
  <c r="D23" i="13"/>
  <c r="B8" i="2"/>
  <c r="D24" i="13"/>
  <c r="D30" i="13"/>
  <c r="B34" i="2"/>
  <c r="B10" i="2"/>
  <c r="B12" i="6"/>
  <c r="C18" i="2"/>
  <c r="B18" i="2"/>
  <c r="C22" i="2"/>
  <c r="B22" i="2"/>
  <c r="C12" i="6"/>
  <c r="D12" i="6"/>
  <c r="B34" i="11"/>
  <c r="B35" i="11"/>
  <c r="B44" i="11"/>
  <c r="C12" i="12"/>
  <c r="D12" i="12"/>
  <c r="C24" i="12"/>
  <c r="D10" i="13"/>
  <c r="F30" i="13"/>
  <c r="F26" i="13"/>
  <c r="F24" i="13"/>
  <c r="E24" i="13"/>
  <c r="A22" i="13"/>
  <c r="B51" i="9"/>
  <c r="C21" i="2"/>
  <c r="B21" i="2"/>
  <c r="B17" i="2"/>
  <c r="B19" i="2"/>
  <c r="C20" i="2"/>
  <c r="B20" i="2"/>
  <c r="B43" i="2"/>
  <c r="M33" i="8"/>
  <c r="C62" i="9"/>
  <c r="E62" i="9"/>
  <c r="G62" i="9"/>
  <c r="I32" i="8"/>
  <c r="E32" i="8"/>
  <c r="G32" i="8"/>
  <c r="B62" i="9"/>
  <c r="D62" i="9"/>
  <c r="F62" i="9"/>
  <c r="E28" i="8"/>
  <c r="E30" i="8"/>
  <c r="G28" i="8"/>
  <c r="G30" i="8"/>
  <c r="L33" i="8"/>
  <c r="B39" i="2"/>
  <c r="B14" i="6"/>
  <c r="C14" i="6"/>
  <c r="D14" i="6"/>
  <c r="B25" i="2"/>
  <c r="B26" i="2"/>
  <c r="B13" i="6"/>
  <c r="B14" i="7"/>
  <c r="C13" i="6"/>
  <c r="C26" i="6"/>
  <c r="C14" i="7"/>
  <c r="D13" i="6"/>
  <c r="D26" i="6"/>
  <c r="D14" i="7"/>
  <c r="F14" i="7"/>
  <c r="C11" i="13"/>
  <c r="B29" i="2"/>
  <c r="B11" i="6"/>
  <c r="C31" i="2"/>
  <c r="B31" i="2"/>
  <c r="B32" i="2"/>
  <c r="B33" i="2"/>
  <c r="B30" i="2"/>
  <c r="C11" i="6"/>
  <c r="D11" i="6"/>
  <c r="B23" i="12"/>
  <c r="C23" i="12"/>
  <c r="D23" i="12"/>
  <c r="A25" i="7"/>
  <c r="A24" i="7"/>
  <c r="A23" i="7"/>
  <c r="B48" i="2"/>
  <c r="B49" i="2"/>
  <c r="B16" i="6"/>
  <c r="C16" i="6"/>
  <c r="D16" i="6"/>
  <c r="F23" i="7"/>
  <c r="G23" i="7"/>
  <c r="F24" i="7"/>
  <c r="G24" i="7"/>
  <c r="B28" i="2"/>
  <c r="B37" i="2"/>
  <c r="B15" i="6"/>
  <c r="B38" i="2"/>
  <c r="C16" i="7"/>
  <c r="D16" i="7"/>
  <c r="F25" i="7"/>
  <c r="G25" i="7"/>
  <c r="C23" i="2"/>
  <c r="B23" i="2"/>
  <c r="B24" i="2"/>
  <c r="B9" i="6"/>
  <c r="C10" i="7"/>
  <c r="D10" i="7"/>
  <c r="F26" i="7"/>
  <c r="G26" i="7"/>
  <c r="F27" i="7"/>
  <c r="G27" i="7"/>
  <c r="F28" i="7"/>
  <c r="G28" i="7"/>
  <c r="B11" i="2"/>
  <c r="B6" i="1"/>
  <c r="B8" i="6"/>
  <c r="C8" i="6"/>
  <c r="D8" i="6"/>
  <c r="F29" i="7"/>
  <c r="G29" i="7"/>
  <c r="B27" i="2"/>
  <c r="B10" i="6"/>
  <c r="C10" i="6"/>
  <c r="D10" i="6"/>
  <c r="F30" i="7"/>
  <c r="G30" i="7"/>
  <c r="F31" i="7"/>
  <c r="G31" i="7"/>
  <c r="A26" i="7"/>
  <c r="A27" i="7"/>
  <c r="A28" i="7"/>
  <c r="A29" i="7"/>
  <c r="A30" i="7"/>
  <c r="A31" i="7"/>
  <c r="B26" i="1"/>
  <c r="A46" i="15"/>
  <c r="C46" i="15"/>
  <c r="A47" i="15"/>
  <c r="C47" i="15"/>
  <c r="A45" i="15"/>
  <c r="C45" i="15"/>
  <c r="A44" i="15"/>
  <c r="C44" i="15"/>
  <c r="A43" i="15"/>
  <c r="C43" i="15"/>
  <c r="A41" i="15"/>
  <c r="A42" i="15"/>
  <c r="C41" i="15"/>
  <c r="A37" i="15"/>
  <c r="A38" i="15"/>
  <c r="A39" i="15"/>
  <c r="C39" i="15"/>
  <c r="A33" i="15"/>
  <c r="A34" i="15"/>
  <c r="A32" i="15"/>
  <c r="C33" i="15"/>
  <c r="B23" i="1"/>
  <c r="B25" i="1"/>
  <c r="C25" i="1"/>
  <c r="D25" i="1"/>
  <c r="B11" i="1"/>
  <c r="C11" i="1"/>
  <c r="D11" i="1"/>
  <c r="C26" i="1"/>
  <c r="D26" i="1"/>
  <c r="B12" i="1"/>
  <c r="C12" i="1"/>
  <c r="D12" i="1"/>
  <c r="F14" i="6"/>
  <c r="F12" i="1"/>
  <c r="E16" i="8"/>
  <c r="G16" i="8"/>
  <c r="D22" i="1"/>
  <c r="E37" i="8"/>
  <c r="B22" i="1"/>
  <c r="C23" i="1"/>
  <c r="D23" i="1"/>
  <c r="B9" i="1"/>
  <c r="C9" i="1"/>
  <c r="D9" i="1"/>
  <c r="F12" i="9"/>
  <c r="F36" i="9"/>
  <c r="F47" i="9"/>
  <c r="F11" i="9"/>
  <c r="F35" i="9"/>
  <c r="F46" i="9"/>
  <c r="F10" i="9"/>
  <c r="F14" i="9"/>
  <c r="F15" i="9"/>
  <c r="F34" i="9"/>
  <c r="F45" i="9"/>
  <c r="F33" i="9"/>
  <c r="F44" i="9"/>
  <c r="F32" i="9"/>
  <c r="F43" i="9"/>
  <c r="D12" i="9"/>
  <c r="D36" i="9"/>
  <c r="D47" i="9"/>
  <c r="D11" i="9"/>
  <c r="D35" i="9"/>
  <c r="D46" i="9"/>
  <c r="D10" i="9"/>
  <c r="D20" i="9"/>
  <c r="D21" i="9"/>
  <c r="D14" i="9"/>
  <c r="D15" i="9"/>
  <c r="D34" i="9"/>
  <c r="D45" i="9"/>
  <c r="D33" i="9"/>
  <c r="D44" i="9"/>
  <c r="D32" i="9"/>
  <c r="D43" i="9"/>
  <c r="B26" i="11"/>
  <c r="B32" i="11"/>
  <c r="B36" i="11"/>
  <c r="B38" i="11"/>
  <c r="B40" i="11"/>
  <c r="B22" i="11"/>
  <c r="B11" i="12"/>
  <c r="A24" i="15"/>
  <c r="A19" i="15"/>
  <c r="A14" i="15"/>
  <c r="A15" i="15"/>
  <c r="A20" i="15"/>
  <c r="A25" i="15"/>
  <c r="C25" i="15"/>
  <c r="C19" i="15"/>
  <c r="A66" i="15"/>
  <c r="A67" i="15"/>
  <c r="C66" i="15"/>
  <c r="A65" i="15"/>
  <c r="H26" i="14"/>
  <c r="H25" i="14"/>
  <c r="H24" i="14"/>
  <c r="E23" i="8"/>
  <c r="G23" i="8"/>
  <c r="H23" i="14"/>
  <c r="H20" i="14"/>
  <c r="H17" i="14"/>
  <c r="H14" i="14"/>
  <c r="H13" i="14"/>
  <c r="H12" i="14"/>
  <c r="H11" i="14"/>
  <c r="H7" i="14"/>
  <c r="A64" i="15"/>
  <c r="A16" i="15"/>
  <c r="A17" i="15"/>
  <c r="C17" i="15"/>
  <c r="C36" i="1"/>
  <c r="B10" i="1"/>
  <c r="C10" i="1"/>
  <c r="D10" i="1"/>
  <c r="C6" i="1"/>
  <c r="D6" i="1"/>
  <c r="C55" i="15"/>
  <c r="A50" i="15"/>
  <c r="C50" i="15"/>
  <c r="E8" i="9"/>
  <c r="E31" i="9"/>
  <c r="E42" i="9"/>
  <c r="G8" i="9"/>
  <c r="G31" i="9"/>
  <c r="G42" i="9"/>
  <c r="H42" i="9"/>
  <c r="A49" i="15"/>
  <c r="C49" i="15"/>
  <c r="A35" i="15"/>
  <c r="A36" i="15"/>
  <c r="C35" i="15"/>
  <c r="C32" i="15"/>
  <c r="A77" i="15"/>
  <c r="A78" i="15"/>
  <c r="A71" i="15"/>
  <c r="A73" i="15"/>
  <c r="A72" i="15"/>
  <c r="A74" i="15"/>
  <c r="A75" i="15"/>
  <c r="A76" i="15"/>
  <c r="C73" i="15"/>
  <c r="C71" i="15"/>
  <c r="C64" i="15"/>
  <c r="A63" i="15"/>
  <c r="C63" i="15"/>
  <c r="B68" i="9"/>
  <c r="C68" i="9"/>
  <c r="D9" i="9"/>
  <c r="D57" i="9"/>
  <c r="D68" i="9"/>
  <c r="E9" i="9"/>
  <c r="E10" i="9"/>
  <c r="E20" i="9"/>
  <c r="E21" i="9"/>
  <c r="E14" i="9"/>
  <c r="E33" i="9"/>
  <c r="E15" i="9"/>
  <c r="E34" i="9"/>
  <c r="E11" i="9"/>
  <c r="E35" i="9"/>
  <c r="E12" i="9"/>
  <c r="E36" i="9"/>
  <c r="E32" i="9"/>
  <c r="E43" i="9"/>
  <c r="E57" i="9"/>
  <c r="E68" i="9"/>
  <c r="F9" i="9"/>
  <c r="F57" i="9"/>
  <c r="F68" i="9"/>
  <c r="G9" i="9"/>
  <c r="G10" i="9"/>
  <c r="G14" i="9"/>
  <c r="G33" i="9"/>
  <c r="G15" i="9"/>
  <c r="G34" i="9"/>
  <c r="G11" i="9"/>
  <c r="G35" i="9"/>
  <c r="G12" i="9"/>
  <c r="G36" i="9"/>
  <c r="G32" i="9"/>
  <c r="G43" i="9"/>
  <c r="G57" i="9"/>
  <c r="G68" i="9"/>
  <c r="H68" i="9"/>
  <c r="B70" i="9"/>
  <c r="C70" i="9"/>
  <c r="D59" i="9"/>
  <c r="D70" i="9"/>
  <c r="E45" i="9"/>
  <c r="E59" i="9"/>
  <c r="E70" i="9"/>
  <c r="F59" i="9"/>
  <c r="F70" i="9"/>
  <c r="G45" i="9"/>
  <c r="G59" i="9"/>
  <c r="G70" i="9"/>
  <c r="H70" i="9"/>
  <c r="B31" i="6"/>
  <c r="A61" i="15"/>
  <c r="A62" i="15"/>
  <c r="C61" i="15"/>
  <c r="C31" i="6"/>
  <c r="A59" i="15"/>
  <c r="C59" i="15"/>
  <c r="A57" i="15"/>
  <c r="C57" i="15"/>
  <c r="F20" i="9"/>
  <c r="F21" i="9"/>
  <c r="G20" i="9"/>
  <c r="G21" i="9"/>
  <c r="A52" i="15"/>
  <c r="C52" i="15"/>
  <c r="A51" i="15"/>
  <c r="C51" i="15"/>
  <c r="A48" i="15"/>
  <c r="C48" i="15"/>
  <c r="A40" i="15"/>
  <c r="C40" i="15"/>
  <c r="C38" i="15"/>
  <c r="A30" i="15"/>
  <c r="A31" i="15"/>
  <c r="A28" i="15"/>
  <c r="A29" i="15"/>
  <c r="A26" i="15"/>
  <c r="A27" i="15"/>
  <c r="C37" i="15"/>
  <c r="C26" i="15"/>
  <c r="C28" i="15"/>
  <c r="C30" i="15"/>
  <c r="C31" i="15"/>
  <c r="C77" i="15"/>
  <c r="C24" i="15"/>
  <c r="A21" i="15"/>
  <c r="A22" i="15"/>
  <c r="A23" i="15"/>
  <c r="C21" i="15"/>
  <c r="C16" i="15"/>
  <c r="A18" i="15"/>
  <c r="C18" i="15"/>
  <c r="C15" i="15"/>
  <c r="C14" i="15"/>
  <c r="A13" i="15"/>
  <c r="C13" i="15"/>
  <c r="A12" i="15"/>
  <c r="A11" i="15"/>
  <c r="C11" i="15"/>
  <c r="A9" i="15"/>
  <c r="A10" i="15"/>
  <c r="C10" i="15"/>
  <c r="C9" i="15"/>
  <c r="A8" i="15"/>
  <c r="C8" i="15"/>
  <c r="A7" i="15"/>
  <c r="C7" i="15"/>
  <c r="C16" i="13"/>
  <c r="B7" i="11"/>
  <c r="B6" i="11"/>
  <c r="B23" i="11"/>
  <c r="B8" i="12"/>
  <c r="C8" i="12"/>
  <c r="D8" i="12"/>
  <c r="B9" i="12"/>
  <c r="C9" i="12"/>
  <c r="D9" i="12"/>
  <c r="B5" i="11"/>
  <c r="B10" i="12"/>
  <c r="C11" i="12"/>
  <c r="D11" i="12"/>
  <c r="B8" i="13"/>
  <c r="B13" i="12"/>
  <c r="C13" i="12"/>
  <c r="D13" i="12"/>
  <c r="B51" i="11"/>
  <c r="B25" i="12"/>
  <c r="C25" i="12"/>
  <c r="D25" i="12"/>
  <c r="B12" i="13"/>
  <c r="B41" i="11"/>
  <c r="B43" i="11"/>
  <c r="B14" i="12"/>
  <c r="B26" i="12"/>
  <c r="B13" i="13"/>
  <c r="B15" i="12"/>
  <c r="C15" i="12"/>
  <c r="D15" i="12"/>
  <c r="B27" i="12"/>
  <c r="C27" i="12"/>
  <c r="D27" i="12"/>
  <c r="B14" i="13"/>
  <c r="B16" i="13"/>
  <c r="D16" i="13"/>
  <c r="A6" i="15"/>
  <c r="C6" i="15"/>
  <c r="A5" i="15"/>
  <c r="AO25" i="9"/>
  <c r="AN25" i="9"/>
  <c r="G25" i="9"/>
  <c r="F25" i="9"/>
  <c r="E25" i="9"/>
  <c r="D25" i="9"/>
  <c r="C25" i="9"/>
  <c r="B25" i="9"/>
  <c r="H24" i="9"/>
  <c r="G24" i="9"/>
  <c r="F24" i="9"/>
  <c r="E24" i="9"/>
  <c r="D24" i="9"/>
  <c r="C24" i="9"/>
  <c r="B24" i="9"/>
  <c r="H23" i="9"/>
  <c r="G23" i="9"/>
  <c r="F23" i="9"/>
  <c r="E23" i="9"/>
  <c r="D23" i="9"/>
  <c r="C23" i="9"/>
  <c r="B23" i="9"/>
  <c r="H22" i="9"/>
  <c r="G22" i="9"/>
  <c r="F22" i="9"/>
  <c r="E22" i="9"/>
  <c r="D22" i="9"/>
  <c r="C22" i="9"/>
  <c r="B22" i="9"/>
  <c r="H21" i="9"/>
  <c r="H20" i="9"/>
  <c r="H19" i="9"/>
  <c r="G19" i="9"/>
  <c r="F19" i="9"/>
  <c r="E19" i="9"/>
  <c r="D19" i="9"/>
  <c r="C19" i="9"/>
  <c r="B19" i="9"/>
  <c r="H11" i="9"/>
  <c r="H10" i="9"/>
  <c r="H9" i="9"/>
  <c r="H8" i="9"/>
  <c r="H7" i="9"/>
  <c r="AO13" i="9"/>
  <c r="AN13" i="9"/>
  <c r="D14" i="13"/>
  <c r="A14" i="13"/>
  <c r="D13" i="13"/>
  <c r="A13" i="13"/>
  <c r="D12" i="13"/>
  <c r="A10" i="13"/>
  <c r="D8" i="13"/>
  <c r="A8" i="13"/>
  <c r="D7" i="13"/>
  <c r="D6" i="13"/>
  <c r="A2" i="12"/>
  <c r="C25" i="11"/>
  <c r="C24" i="11"/>
  <c r="C23" i="11"/>
  <c r="C22" i="11"/>
  <c r="F8" i="6"/>
  <c r="E34" i="8"/>
  <c r="E35" i="8"/>
  <c r="G34" i="8"/>
  <c r="G35" i="8"/>
  <c r="F10" i="1"/>
  <c r="F12" i="6"/>
  <c r="F6" i="1"/>
  <c r="D24" i="1"/>
  <c r="D20" i="1"/>
  <c r="B28" i="1"/>
  <c r="B27" i="1"/>
  <c r="B24" i="1"/>
  <c r="B21" i="1"/>
  <c r="B20" i="1"/>
  <c r="B67" i="9"/>
  <c r="C67" i="9"/>
  <c r="D56" i="9"/>
  <c r="D67" i="9"/>
  <c r="E56" i="9"/>
  <c r="E67" i="9"/>
  <c r="F56" i="9"/>
  <c r="F67" i="9"/>
  <c r="G56" i="9"/>
  <c r="G67" i="9"/>
  <c r="H67" i="9"/>
  <c r="B44" i="9"/>
  <c r="B58" i="9"/>
  <c r="B69" i="9"/>
  <c r="C44" i="9"/>
  <c r="C58" i="9"/>
  <c r="C69" i="9"/>
  <c r="D58" i="9"/>
  <c r="D69" i="9"/>
  <c r="E44" i="9"/>
  <c r="E58" i="9"/>
  <c r="E69" i="9"/>
  <c r="F58" i="9"/>
  <c r="F69" i="9"/>
  <c r="G44" i="9"/>
  <c r="G58" i="9"/>
  <c r="G69" i="9"/>
  <c r="H69" i="9"/>
  <c r="B46" i="9"/>
  <c r="B60" i="9"/>
  <c r="B71" i="9"/>
  <c r="C46" i="9"/>
  <c r="C60" i="9"/>
  <c r="C71" i="9"/>
  <c r="D60" i="9"/>
  <c r="D71" i="9"/>
  <c r="E46" i="9"/>
  <c r="E60" i="9"/>
  <c r="E71" i="9"/>
  <c r="F60" i="9"/>
  <c r="F71" i="9"/>
  <c r="G46" i="9"/>
  <c r="G60" i="9"/>
  <c r="G71" i="9"/>
  <c r="H71" i="9"/>
  <c r="B47" i="9"/>
  <c r="B61" i="9"/>
  <c r="B72" i="9"/>
  <c r="C47" i="9"/>
  <c r="C61" i="9"/>
  <c r="C72" i="9"/>
  <c r="D61" i="9"/>
  <c r="D72" i="9"/>
  <c r="E47" i="9"/>
  <c r="E61" i="9"/>
  <c r="E72" i="9"/>
  <c r="F61" i="9"/>
  <c r="F72" i="9"/>
  <c r="G47" i="9"/>
  <c r="G61" i="9"/>
  <c r="G72" i="9"/>
  <c r="H72" i="9"/>
  <c r="I73" i="9"/>
  <c r="B73" i="9"/>
  <c r="C73" i="9"/>
  <c r="D73" i="9"/>
  <c r="E73" i="9"/>
  <c r="F73" i="9"/>
  <c r="G73" i="9"/>
  <c r="H73" i="9"/>
  <c r="A62" i="9"/>
  <c r="A73" i="9"/>
  <c r="A36" i="9"/>
  <c r="A47" i="9"/>
  <c r="A61" i="9"/>
  <c r="A72" i="9"/>
  <c r="A35" i="9"/>
  <c r="A46" i="9"/>
  <c r="A60" i="9"/>
  <c r="A71" i="9"/>
  <c r="A34" i="9"/>
  <c r="A45" i="9"/>
  <c r="A59" i="9"/>
  <c r="A70" i="9"/>
  <c r="A33" i="9"/>
  <c r="A44" i="9"/>
  <c r="A58" i="9"/>
  <c r="A69" i="9"/>
  <c r="A32" i="9"/>
  <c r="A43" i="9"/>
  <c r="A57" i="9"/>
  <c r="A68" i="9"/>
  <c r="A31" i="9"/>
  <c r="A42" i="9"/>
  <c r="A56" i="9"/>
  <c r="A67" i="9"/>
  <c r="A30" i="9"/>
  <c r="A41" i="9"/>
  <c r="A55" i="9"/>
  <c r="A66" i="9"/>
  <c r="H55" i="9"/>
  <c r="H56" i="9"/>
  <c r="H57" i="9"/>
  <c r="H58" i="9"/>
  <c r="H59" i="9"/>
  <c r="H60" i="9"/>
  <c r="H61" i="9"/>
  <c r="I62" i="9"/>
  <c r="H62" i="9"/>
  <c r="H41" i="9"/>
  <c r="H43" i="9"/>
  <c r="H44" i="9"/>
  <c r="H45" i="9"/>
  <c r="H46" i="9"/>
  <c r="H47" i="9"/>
  <c r="I48" i="9"/>
  <c r="H30" i="9"/>
  <c r="H31" i="9"/>
  <c r="H32" i="9"/>
  <c r="H33" i="9"/>
  <c r="H34" i="9"/>
  <c r="H35" i="9"/>
  <c r="H36" i="9"/>
  <c r="I37" i="9"/>
  <c r="H37" i="9"/>
  <c r="AG13" i="9"/>
  <c r="AF13" i="9"/>
  <c r="AG25" i="9"/>
  <c r="AF25" i="9"/>
  <c r="Y25" i="9"/>
  <c r="X25" i="9"/>
  <c r="Y13" i="9"/>
  <c r="X13" i="9"/>
  <c r="Q25" i="9"/>
  <c r="P25" i="9"/>
  <c r="A25" i="9"/>
  <c r="A24" i="9"/>
  <c r="A23" i="9"/>
  <c r="A22" i="9"/>
  <c r="A21" i="9"/>
  <c r="A20" i="9"/>
  <c r="A19" i="9"/>
  <c r="Q13" i="9"/>
  <c r="P13" i="9"/>
  <c r="I34" i="8"/>
  <c r="B19" i="7"/>
  <c r="A2" i="7"/>
  <c r="A2" i="6"/>
  <c r="B15" i="3"/>
  <c r="A4" i="3"/>
  <c r="C21" i="1"/>
  <c r="C20" i="1"/>
  <c r="B7" i="1"/>
  <c r="C28" i="1"/>
  <c r="D28" i="1"/>
  <c r="B8" i="1"/>
  <c r="C8" i="1"/>
  <c r="D8" i="1"/>
  <c r="B13" i="1"/>
  <c r="B14" i="1"/>
  <c r="C14" i="1"/>
  <c r="D14" i="1"/>
  <c r="C22" i="1"/>
  <c r="C24" i="1"/>
  <c r="C31" i="1"/>
  <c r="D31" i="1"/>
  <c r="B31" i="1"/>
  <c r="I35" i="8"/>
  <c r="B33" i="12"/>
  <c r="B34" i="12"/>
  <c r="C33" i="1"/>
  <c r="C34" i="1"/>
  <c r="C35" i="1"/>
  <c r="C33" i="6"/>
  <c r="B35" i="6"/>
  <c r="A60" i="15"/>
  <c r="C60" i="15"/>
  <c r="A53" i="15"/>
  <c r="A56" i="15"/>
  <c r="A55" i="15"/>
  <c r="A54" i="15"/>
  <c r="C53" i="15"/>
  <c r="A4" i="15"/>
  <c r="C4" i="15"/>
  <c r="B34" i="6"/>
  <c r="C58" i="15"/>
  <c r="G5" i="14"/>
</calcChain>
</file>

<file path=xl/sharedStrings.xml><?xml version="1.0" encoding="utf-8"?>
<sst xmlns="http://schemas.openxmlformats.org/spreadsheetml/2006/main" count="733" uniqueCount="390">
  <si>
    <t>Benefit Index Amounts</t>
  </si>
  <si>
    <t>Shared responsibility penalty</t>
  </si>
  <si>
    <t>Program</t>
  </si>
  <si>
    <t>Unemployed</t>
  </si>
  <si>
    <t>OLF</t>
  </si>
  <si>
    <t>Reduced hours</t>
  </si>
  <si>
    <t>Parameters</t>
  </si>
  <si>
    <t>Employer cash flow tax rate</t>
  </si>
  <si>
    <t>Employer payroll tax rate</t>
  </si>
  <si>
    <t>Employee payroll tax rate</t>
  </si>
  <si>
    <t>Employee personal income tax rate</t>
  </si>
  <si>
    <t>2013 Shared responsibility penalty, per employee-year</t>
  </si>
  <si>
    <t>Health cost annualized excess growth rate</t>
  </si>
  <si>
    <t>PCEPI</t>
  </si>
  <si>
    <t>lin</t>
  </si>
  <si>
    <t>A</t>
  </si>
  <si>
    <t>Personal Consumption Expenditures: Chain-type Price Index</t>
  </si>
  <si>
    <t>U.S. Department of Commerce: Bureau of Economic Analysis</t>
  </si>
  <si>
    <t>Monthly</t>
  </si>
  <si>
    <t>Index 2005=100</t>
  </si>
  <si>
    <t>1959-01-01 to 2013-02-01</t>
  </si>
  <si>
    <t>date</t>
  </si>
  <si>
    <t>value</t>
  </si>
  <si>
    <t>2014 PCEPI</t>
  </si>
  <si>
    <t>average weekly hours among full-time employed</t>
  </si>
  <si>
    <t>growth rate after 2014</t>
  </si>
  <si>
    <t>Program Participation Weight</t>
  </si>
  <si>
    <t>fractions</t>
  </si>
  <si>
    <t>program participation weights are constant by definition</t>
  </si>
  <si>
    <t>Individual mandate penalty</t>
  </si>
  <si>
    <t>Parameter</t>
  </si>
  <si>
    <t>Value</t>
  </si>
  <si>
    <t>Referencing Program</t>
  </si>
  <si>
    <t>individual penalty as ratio to household income</t>
  </si>
  <si>
    <t>grows with inflation after 2016 (therefore probably less than wages)</t>
  </si>
  <si>
    <t>HI subsidies for persons w/ ESI at work</t>
  </si>
  <si>
    <t>HI subsidies for persons w/o ESI at work</t>
  </si>
  <si>
    <t>with Medicaid</t>
  </si>
  <si>
    <t>own ESI</t>
  </si>
  <si>
    <t>own other private coverage</t>
  </si>
  <si>
    <t>coverage through family</t>
  </si>
  <si>
    <t>uninsurance to NGI transition rate</t>
  </si>
  <si>
    <t>ACA MTR (cash units) among median earners 1-4FPL and either uninsured or with non-ESI private coverage</t>
  </si>
  <si>
    <t>Statutory index, all ACA programs</t>
  </si>
  <si>
    <t>Implicit taxation of unemployment benefits</t>
  </si>
  <si>
    <t>UI benefit index</t>
  </si>
  <si>
    <t>ACA MTR (cash units) among median earners 1-4FPL and ESI</t>
  </si>
  <si>
    <t>Margins for Reducing Labor Supply</t>
  </si>
  <si>
    <t>Monthly compensation at the median</t>
  </si>
  <si>
    <t>FY 2010 PCEPI</t>
  </si>
  <si>
    <t>FY2010 dollars per month</t>
  </si>
  <si>
    <t>avg ACA subsidy foregone among ESI 1-4 FPL</t>
  </si>
  <si>
    <t>uninsured out-of-pocket in 2008, billions</t>
  </si>
  <si>
    <t>uninsured aggregate earnings in 2008, billions</t>
  </si>
  <si>
    <t>implicit uncompensated care tax rate</t>
  </si>
  <si>
    <t>implicit uncompensated care at the median, FY 2010 $</t>
  </si>
  <si>
    <t>grows with wages</t>
  </si>
  <si>
    <t>Move off implicit uncompensated care tax</t>
  </si>
  <si>
    <t>Year:</t>
  </si>
  <si>
    <t>without HI</t>
  </si>
  <si>
    <t>TOTAL</t>
  </si>
  <si>
    <t>NA</t>
  </si>
  <si>
    <t>Median</t>
  </si>
  <si>
    <t>Referencing parameter</t>
  </si>
  <si>
    <t>benefit indices</t>
  </si>
  <si>
    <t>Shared responsibility penalty &amp; HI subsidies for persons w/ ESI</t>
  </si>
  <si>
    <t>benefit indices (reduced hrs only)</t>
  </si>
  <si>
    <t>individual penalty</t>
  </si>
  <si>
    <t>weights</t>
  </si>
  <si>
    <t>HI subsidies</t>
  </si>
  <si>
    <t>HI ESI subsidy</t>
  </si>
  <si>
    <t>HI non-ESI subsidy</t>
  </si>
  <si>
    <t>HI ESI subsidy - UI clawback component</t>
  </si>
  <si>
    <t>individual penalty; sliding scale; uncompensated care clawback; overall result</t>
  </si>
  <si>
    <t>HI non-ESI subsidies; individual mandate; uncompensated care clawback</t>
  </si>
  <si>
    <t>HI ESI subsidies</t>
  </si>
  <si>
    <t>Uncompensated care</t>
  </si>
  <si>
    <t>Employer shared responsibility penalty</t>
  </si>
  <si>
    <t>LFS weights</t>
  </si>
  <si>
    <t>Statutory index, all ACA programs &amp; all LFS</t>
  </si>
  <si>
    <t>Table 1: ACA and Related Components of the Statutory Marginal Tax Rate Index</t>
  </si>
  <si>
    <t>constant 2014 dollars per month</t>
  </si>
  <si>
    <t>&amp; all LFS</t>
  </si>
  <si>
    <t>grows with inflation after 2016</t>
  </si>
  <si>
    <t>all program participation weights are constant by definition</t>
  </si>
  <si>
    <t>Source</t>
  </si>
  <si>
    <t>fraction of FT employees not offered ESI, w/o ACA</t>
  </si>
  <si>
    <t>fraction of FT employees not offered ESI, w/ ACA</t>
  </si>
  <si>
    <t>ACA impact on ESI prevalence among workers</t>
  </si>
  <si>
    <t>CBO</t>
  </si>
  <si>
    <t>ACA impact on ESI prevalence among workers 1-4 FPL</t>
  </si>
  <si>
    <t>Components</t>
  </si>
  <si>
    <t>sum</t>
  </si>
  <si>
    <t>NGI takeup among those leaving ESI jobs</t>
  </si>
  <si>
    <t>Weekly earnings at quantile, FY 2010$</t>
  </si>
  <si>
    <t>HI holder</t>
  </si>
  <si>
    <t>own</t>
  </si>
  <si>
    <t>none</t>
  </si>
  <si>
    <t>FPL interval</t>
  </si>
  <si>
    <t>1-4</t>
  </si>
  <si>
    <t>1+</t>
  </si>
  <si>
    <t>all others</t>
  </si>
  <si>
    <t>Supply margin</t>
  </si>
  <si>
    <t>FT-PT</t>
  </si>
  <si>
    <t>FT-not employed</t>
  </si>
  <si>
    <t>PT-not employed</t>
  </si>
  <si>
    <t>HI offer to FT?</t>
  </si>
  <si>
    <t>HI offer to PT?</t>
  </si>
  <si>
    <t>yes</t>
  </si>
  <si>
    <t>no</t>
  </si>
  <si>
    <t>sum of weights</t>
  </si>
  <si>
    <t>slide down scale for exchange payments</t>
  </si>
  <si>
    <t>jump onto scale for exchange payments</t>
  </si>
  <si>
    <t>hardship relief from individual mandate</t>
  </si>
  <si>
    <t>turn off employer penality</t>
  </si>
  <si>
    <t>Legend for ACA-related labor wedges</t>
  </si>
  <si>
    <t>Type of Employer</t>
  </si>
  <si>
    <t>not employed</t>
  </si>
  <si>
    <t>reduced hours</t>
  </si>
  <si>
    <t>Assume</t>
  </si>
  <si>
    <t>The uninsured and NGI were not offered (but not vice-versa).  For part-time workers not offered, this does not tell us which type of employer</t>
  </si>
  <si>
    <t>FT</t>
  </si>
  <si>
    <t>PT</t>
  </si>
  <si>
    <t>FPL 1-4</t>
  </si>
  <si>
    <t>FPL 4+</t>
  </si>
  <si>
    <t>FPL 0-1</t>
  </si>
  <si>
    <t>Coverage through family (aged 26+) has same ESI-NGI distribution overall as it does among married people with own coverage</t>
  </si>
  <si>
    <t>working elderly or working age&lt;26</t>
  </si>
  <si>
    <t>Total</t>
  </si>
  <si>
    <t>Average weekly earnings near median</t>
  </si>
  <si>
    <t>HI Category</t>
  </si>
  <si>
    <t>Average weekly earnings near median &amp; married</t>
  </si>
  <si>
    <t>FPL 1-3</t>
  </si>
  <si>
    <t>FPL 1-3 &amp; married</t>
  </si>
  <si>
    <t>FPL 3+</t>
  </si>
  <si>
    <t>FPL 3+ &amp; married</t>
  </si>
  <si>
    <t>Quantile</t>
  </si>
  <si>
    <t>Quantile &amp; married</t>
  </si>
  <si>
    <t>without ACA</t>
  </si>
  <si>
    <t>family ESI</t>
  </si>
  <si>
    <t>family other private</t>
  </si>
  <si>
    <t>Source:</t>
  </si>
  <si>
    <t>mdearnerft.do</t>
  </si>
  <si>
    <t>ESI impact among 0-1 &amp; 4+ FPL</t>
  </si>
  <si>
    <t>with ACA HI transitions</t>
  </si>
  <si>
    <t>with all ACA transitions</t>
  </si>
  <si>
    <t>ACA FT factor</t>
  </si>
  <si>
    <t>average of without and w/ ACA</t>
  </si>
  <si>
    <t>ADP report</t>
  </si>
  <si>
    <t>fraction of PT employees not offered but with an ESI employer</t>
  </si>
  <si>
    <t>ADP has the right distribution of PT employees between no ESI and ESI-FT-only</t>
  </si>
  <si>
    <t>employment-weighted fraction of ESI employers offering to PT</t>
  </si>
  <si>
    <t>ADP has the right distribution of FT employees between the two ESI employer types</t>
  </si>
  <si>
    <t>family NGI</t>
  </si>
  <si>
    <t>weight relative to w/o ACA</t>
  </si>
  <si>
    <t>assumed</t>
  </si>
  <si>
    <t>various</t>
  </si>
  <si>
    <t>ACA FT-PT impact factor</t>
  </si>
  <si>
    <t>annual household income for heads and spouses aged 26-64, uninsured, and above FPL</t>
  </si>
  <si>
    <t>The table entries are averages of ACA and no-ACA values.</t>
  </si>
  <si>
    <r>
      <rPr>
        <u/>
        <sz val="11"/>
        <color theme="1"/>
        <rFont val="Times New Roman"/>
        <family val="2"/>
        <scheme val="minor"/>
      </rPr>
      <t>Abbreviations</t>
    </r>
    <r>
      <rPr>
        <sz val="11"/>
        <color theme="1"/>
        <rFont val="Times New Roman"/>
        <family val="2"/>
        <scheme val="minor"/>
      </rPr>
      <t>: HI=health insurance, FPL=federal poverty line, FT=full time, PT=part time,</t>
    </r>
  </si>
  <si>
    <t>NGI=non-group insurance</t>
  </si>
  <si>
    <t>average weekly hours among part-time employed</t>
  </si>
  <si>
    <t>Average Marginal Labor Income Tax Rates under the Affordable Care Act</t>
  </si>
  <si>
    <t>by Casey B. Mulligan</t>
  </si>
  <si>
    <t>tab</t>
  </si>
  <si>
    <t>description</t>
  </si>
  <si>
    <t>FY 2010$ version of Table 1.  Use this to toggle years</t>
  </si>
  <si>
    <t>relies on</t>
  </si>
  <si>
    <t>FREDconnect</t>
  </si>
  <si>
    <t>Table1</t>
  </si>
  <si>
    <t>WgtDetail</t>
  </si>
  <si>
    <t>2 other tabs: Parameters &amp; Table 1</t>
  </si>
  <si>
    <t>2 other tabs: Parameters &amp; WgtDetail</t>
  </si>
  <si>
    <t>CoveragebyFTQuantile</t>
  </si>
  <si>
    <t>CPS x-tabs by FPL, HI status, employment status</t>
  </si>
  <si>
    <t>2 other tabs: Parameters &amp; CoveragebyFTQuintile</t>
  </si>
  <si>
    <t>price index for consumption</t>
  </si>
  <si>
    <t>St. Louis Fed</t>
  </si>
  <si>
    <t>ACA and Related Components of the Statutory Marginal Tax Rate Index</t>
  </si>
  <si>
    <t>Building Blocks of the Program Participation Weights</t>
  </si>
  <si>
    <t>MTR decomposition by program and labor margin</t>
  </si>
  <si>
    <t>Notes</t>
  </si>
  <si>
    <t>Employer penalty weight is just the fraction FT * fraction not offered</t>
  </si>
  <si>
    <t>Massachusetts parameters</t>
  </si>
  <si>
    <t>not offered ESI among working non-elderly heads/spouses, US (MEPS)</t>
  </si>
  <si>
    <t>not offered ESI among working non-elderly heads/spouses, New England (MEPS)</t>
  </si>
  <si>
    <t>150-300 FPL and own ESI among working non-elderly heads/spouses, MA (CPS 2010)</t>
  </si>
  <si>
    <t>150-300 FPL among working non-elderly heads/spouses, MA (CPS 2010)</t>
  </si>
  <si>
    <t>median weekly earnings of employed heads/spouses in 2007, MA relative to US</t>
  </si>
  <si>
    <t>overall index</t>
  </si>
  <si>
    <t>benefits</t>
  </si>
  <si>
    <t>maweightsfromCPS.do</t>
  </si>
  <si>
    <t>BCBS 5 year report</t>
  </si>
  <si>
    <t>morgnonemployedtable edited</t>
  </si>
  <si>
    <t>MGL c. 149, section 188 [effective until 11/4/2012]</t>
  </si>
  <si>
    <t>non-elderly adults 150-300 FPL &amp; Commcare, MA</t>
  </si>
  <si>
    <t>non-elderly heads &amp; spouses 150-300 FPL, MA (CPS 2011 IV)</t>
  </si>
  <si>
    <t>Values</t>
  </si>
  <si>
    <t>All</t>
  </si>
  <si>
    <t>Near-median earners</t>
  </si>
  <si>
    <t>fraction married among uninsured working non-elderly heads/spouses 150-300 FPL, MA (CPS 2010)</t>
  </si>
  <si>
    <t>propensity of the nonpoor uninsured to be 150-300 FPL, MA (CPS 2010)</t>
  </si>
  <si>
    <t>MA employer monthly penalty, tax adjusted</t>
  </si>
  <si>
    <t>individual mandate AMTR among MA uninsured working heads/spouses 150-300 FPL</t>
  </si>
  <si>
    <t>avg annual penalty among MA uninsured working heads/spouses &gt; 300 FPL</t>
  </si>
  <si>
    <t>PCEPI 2010</t>
  </si>
  <si>
    <t>propensity to have NGI or Medicaid among non-working non-elderly heads/spouses, MA (CPS 2010)</t>
  </si>
  <si>
    <t>total value is program cost plus avg premium from participants</t>
  </si>
  <si>
    <t>Commcare avg monthy premium 200-300 FPL</t>
  </si>
  <si>
    <t>Commcare avg monthy premium 150-200 FPL</t>
  </si>
  <si>
    <t>Commcare avg monthy premium 0-150 FPL</t>
  </si>
  <si>
    <t>sh of Commcare 200-300 FPL</t>
  </si>
  <si>
    <t>sh of Commcare 150-200 FPL</t>
  </si>
  <si>
    <t>sh of Commcare 0-150 FPL</t>
  </si>
  <si>
    <t>avg Commcare premium, annual</t>
  </si>
  <si>
    <t>Commcare spending in FY2009</t>
  </si>
  <si>
    <t>Commcare participation in 2009</t>
  </si>
  <si>
    <t>Commcare spending per participant, year 2014 $</t>
  </si>
  <si>
    <t>discount for Commcare restrictions</t>
  </si>
  <si>
    <t>https://www.mahealthconnector.org/portal/binary/com.epicentric.contentmanagement.servlet.ContentDeliveryServlet/Health%2520Care%2520Reform/Facts%2520and%2520Figures/Facts%2520and%2520Figures.pdf</t>
  </si>
  <si>
    <t>Commcare social cost per participant, year 2014 $</t>
  </si>
  <si>
    <t>average MTR among working Commcare participants</t>
  </si>
  <si>
    <t>If they earn over 300% FPL (2 FPLs is the gap between 300% and 100%), they have to pay full price but can do it through a cafeteria plane</t>
  </si>
  <si>
    <t>fraction married among non-elderly heads/spouses without ESI or family plan and 150-300 FPL</t>
  </si>
  <si>
    <t>guess</t>
  </si>
  <si>
    <t>average 1/FPL among non-elderly heads/spouses without ESI or family plan and 150-300 FPL, 2014 $</t>
  </si>
  <si>
    <t>average MTR among non-elderly heads/spouses with ESI &amp; 150-300 FPL</t>
  </si>
  <si>
    <t>average 1/FPL among non-elderly heads/spouses with ESI and 150-300 FPL, 2014 $</t>
  </si>
  <si>
    <t>fraction married among non-elderly heads/spouses with ESI and 150-300 FPL</t>
  </si>
  <si>
    <t>UI clawback</t>
  </si>
  <si>
    <t>Commcare subsidy foregone among non-elderly heads/spouses with ESI &amp; 150-300 FPL, 2014 $/yr after taxes</t>
  </si>
  <si>
    <t>Medicaid expansion</t>
  </si>
  <si>
    <t>both HI subsidies</t>
  </si>
  <si>
    <t>Medicaid participation weight, US</t>
  </si>
  <si>
    <t>Medicaid participants, US 2010</t>
  </si>
  <si>
    <t>Medicaid participants, MA 2010</t>
  </si>
  <si>
    <t>working non-elderly heads and spouses, US 2010</t>
  </si>
  <si>
    <t>working non-elderly heads and spouses, MA 2010</t>
  </si>
  <si>
    <t>Medicaid participation weight, MA 2010</t>
  </si>
  <si>
    <t>fraction of Masshealth participation due to CHIP expansion</t>
  </si>
  <si>
    <t>The Redistribution Recession</t>
  </si>
  <si>
    <t>Medicaid benefit index, FY 2010 $</t>
  </si>
  <si>
    <t>http://kff.org/medicaid/state-indicator/monthly-medicaid-enrollment/ (Dec 2009)</t>
  </si>
  <si>
    <t>Romneycare</t>
  </si>
  <si>
    <t>ACA</t>
  </si>
  <si>
    <t>Individual mandate relief</t>
  </si>
  <si>
    <t>Employer penalty</t>
  </si>
  <si>
    <t>Uninsurance rate among non-poor working non-elderly heads/spouses, MA (CPS 2010)</t>
  </si>
  <si>
    <t>Uninsurance rate among non-poor working non-elderly heads/spouses, US (CPS 2010)</t>
  </si>
  <si>
    <t>MAParameters</t>
  </si>
  <si>
    <t>Romneycare parameters</t>
  </si>
  <si>
    <t>maweightsfromCPS.do; various MA publications</t>
  </si>
  <si>
    <t>MAparameters tab</t>
  </si>
  <si>
    <t>MATable1</t>
  </si>
  <si>
    <t>ACAvsMA</t>
  </si>
  <si>
    <t>provision-by-provision comparison of ACA &amp; Romneycare MTRs</t>
  </si>
  <si>
    <r>
      <t>Table1</t>
    </r>
    <r>
      <rPr>
        <sz val="12"/>
        <color theme="1"/>
        <rFont val="Times New Roman"/>
        <family val="2"/>
        <scheme val="minor"/>
      </rPr>
      <t xml:space="preserve"> tab</t>
    </r>
  </si>
  <si>
    <r>
      <t xml:space="preserve">2 other tabs: </t>
    </r>
    <r>
      <rPr>
        <sz val="12"/>
        <color theme="1"/>
        <rFont val="Times New Roman"/>
        <family val="2"/>
        <scheme val="minor"/>
      </rPr>
      <t>MATable1</t>
    </r>
    <r>
      <rPr>
        <sz val="12"/>
        <color theme="1"/>
        <rFont val="Times New Roman"/>
        <family val="2"/>
        <scheme val="minor"/>
      </rPr>
      <t xml:space="preserve"> &amp; Table 1</t>
    </r>
  </si>
  <si>
    <t>Uninsurance rate among working non-elderly heads/spouses, MA (CPS 2010)</t>
  </si>
  <si>
    <t>TOTAL (percentage of compensation)</t>
  </si>
  <si>
    <t>Table 3.  Romneycare and the ACA Compared on Marginal Tax Rate Components</t>
  </si>
  <si>
    <t>ACA as a ratio to Romneycare</t>
  </si>
  <si>
    <r>
      <t xml:space="preserve">Individual mandate </t>
    </r>
    <r>
      <rPr>
        <sz val="12"/>
        <color theme="1"/>
        <rFont val="Times New Roman"/>
        <family val="2"/>
        <scheme val="minor"/>
      </rPr>
      <t>relief: sliding scale</t>
    </r>
  </si>
  <si>
    <r>
      <t xml:space="preserve">Individual mandate </t>
    </r>
    <r>
      <rPr>
        <sz val="12"/>
        <color theme="1"/>
        <rFont val="Times New Roman"/>
        <family val="2"/>
        <scheme val="minor"/>
      </rPr>
      <t>relief: hardship exemption</t>
    </r>
  </si>
  <si>
    <r>
      <t xml:space="preserve">Individual mandate </t>
    </r>
    <r>
      <rPr>
        <sz val="12"/>
        <color theme="1"/>
        <rFont val="Times New Roman"/>
        <family val="2"/>
        <scheme val="minor"/>
      </rPr>
      <t>relief</t>
    </r>
  </si>
  <si>
    <t>Uninsurance rate among working non-elderly heads/spouses, MA (CPS 2006 IV)</t>
  </si>
  <si>
    <t>Uninsurance rate among non-poor working non-elderly heads/spouses, MA (CPS 2006 IV)</t>
  </si>
  <si>
    <r>
      <t>Benefit Index Amounts</t>
    </r>
    <r>
      <rPr>
        <sz val="12"/>
        <color theme="1"/>
        <rFont val="Times New Roman"/>
        <family val="2"/>
        <scheme val="minor"/>
      </rPr>
      <t xml:space="preserve"> (constant 2014 dollars per month)</t>
    </r>
  </si>
  <si>
    <r>
      <t>Program Participation Weights</t>
    </r>
    <r>
      <rPr>
        <sz val="12"/>
        <color theme="1"/>
        <rFont val="Times New Roman"/>
        <family val="2"/>
        <scheme val="minor"/>
      </rPr>
      <t xml:space="preserve"> (fractions)</t>
    </r>
  </si>
  <si>
    <t>All married</t>
  </si>
  <si>
    <t>Benchmark</t>
  </si>
  <si>
    <t>constant 2014 dollars per capita per month</t>
  </si>
  <si>
    <t>TOTAL (2014 $ per capita per month)</t>
  </si>
  <si>
    <t>Marginal Tax Rate Impact, percentage points</t>
  </si>
  <si>
    <t>Health care cost growth, annual rate</t>
  </si>
  <si>
    <t>KFF calculator</t>
  </si>
  <si>
    <t>Health plan values</t>
  </si>
  <si>
    <t>Percentage of uninsured getting coverage</t>
  </si>
  <si>
    <t>Labor force weights</t>
  </si>
  <si>
    <t>-1 pct point</t>
  </si>
  <si>
    <t>+1 pct point</t>
  </si>
  <si>
    <t>-10 pct</t>
  </si>
  <si>
    <t>+10 pct</t>
  </si>
  <si>
    <t>-15 pct points</t>
  </si>
  <si>
    <t>+15 pct points</t>
  </si>
  <si>
    <t>Percentage of ESI moving to exchanges</t>
  </si>
  <si>
    <t>+10 pct points</t>
  </si>
  <si>
    <t>Table 3.  Building Blocks of the Program Participation Weights</t>
  </si>
  <si>
    <t>spreadsheet edits (if any)</t>
  </si>
  <si>
    <t>text</t>
  </si>
  <si>
    <t>The $192 monthly amount is $2,000 per year times the growth rate factor of 1.016 times (1-0.0765-0.18) for employee payroll and income taxes divided by 1.0765*(1-0.39) for employer taxes.</t>
  </si>
  <si>
    <t>2014 tax-adj penalty, employee-month, FY2010$</t>
  </si>
  <si>
    <t>edit year</t>
  </si>
  <si>
    <t>replace the formula in cell CoveragebyFTQuantile!B3 with the number 4</t>
  </si>
  <si>
    <t>[Claxton et al Exhibit 1.1: all plan types]</t>
  </si>
  <si>
    <t>Employer plans tend to have premiums equal to about 83% of participant costs (Gabel et al 2012, Exhibit 1, all families row)</t>
  </si>
  <si>
    <t>Sensitivity</t>
  </si>
  <si>
    <r>
      <t>2 other tabs: Parameters &amp; Table 1</t>
    </r>
    <r>
      <rPr>
        <sz val="12"/>
        <color theme="1"/>
        <rFont val="Times New Roman"/>
        <family val="2"/>
        <scheme val="minor"/>
      </rPr>
      <t>; built with a macro-enable version of this file</t>
    </r>
  </si>
  <si>
    <t>most of the other tabs</t>
  </si>
  <si>
    <t>fraction of hours changes that change FT status</t>
  </si>
  <si>
    <t>TimeUseHdsSpouseswftpt.xlsx</t>
  </si>
  <si>
    <t>50% take-up of hardship exemption</t>
  </si>
  <si>
    <t>Move 10 pct points from UE to OLF</t>
  </si>
  <si>
    <t>Move 10 pct points from UE to
   underemployment</t>
  </si>
  <si>
    <r>
      <t>Sensitivity Analysis</t>
    </r>
    <r>
      <rPr>
        <sz val="12"/>
        <color theme="1"/>
        <rFont val="Times New Roman"/>
        <family val="2"/>
        <scheme val="minor"/>
      </rPr>
      <t>.  Unhide columns to see the cells that are edited</t>
    </r>
  </si>
  <si>
    <t>cell(s) to edit</t>
  </si>
  <si>
    <t>akin to erasing a decade of labor productivity growth [St. Louis fed series OPHNFB for 2003-Q2 and 2013-Q2, downloaded August 2013]</t>
  </si>
  <si>
    <r>
      <t>Medicaid</t>
    </r>
    <r>
      <rPr>
        <sz val="12"/>
        <color theme="1"/>
        <rFont val="Times New Roman"/>
        <family val="2"/>
        <scheme val="minor"/>
      </rPr>
      <t>/CHIP</t>
    </r>
    <r>
      <rPr>
        <sz val="12"/>
        <color theme="1"/>
        <rFont val="Times New Roman"/>
        <family val="2"/>
        <scheme val="minor"/>
      </rPr>
      <t xml:space="preserve"> expansion for children</t>
    </r>
  </si>
  <si>
    <t>Statutory index, all Romneycare programs</t>
  </si>
  <si>
    <t>see also SlidingScale.xlsx, COBRAACAtakeup.xlsx</t>
  </si>
  <si>
    <t>Reconcile advance premium credits</t>
  </si>
  <si>
    <t>ACA extra MTR from reconciliation</t>
  </si>
  <si>
    <t>fraction of average hours changes on weeks/year margin</t>
  </si>
  <si>
    <t>Mulligan (2012, p. 108 fn 12)</t>
  </si>
  <si>
    <t>Count as both "slide down" and "jump onto":</t>
  </si>
  <si>
    <t>UI program weight * eligibility index</t>
  </si>
  <si>
    <t>Mulligan (2012, Table 3.9)</t>
  </si>
  <si>
    <t>Medicaid benefit index</t>
  </si>
  <si>
    <t>Mulligan (2012, p. 82), but moved the inkind factor from program weight to benefit index (this is a normalization)</t>
  </si>
  <si>
    <t>Medicaid program weight</t>
  </si>
  <si>
    <t>Mulligan (2012, Table 3.5), but moved the inkind factor from program weight to benefit index (this is a normalization)</t>
  </si>
  <si>
    <t>medicaidexpansion.do</t>
  </si>
  <si>
    <t>full Medicaid expansion factor</t>
  </si>
  <si>
    <t>Mulligan (2012, p. 81)</t>
  </si>
  <si>
    <t>HI subsidies stop at the poverty line</t>
  </si>
  <si>
    <t>decisiondurations.xlsx</t>
  </si>
  <si>
    <t>claw back subsidies from decisions that cross the poverty line</t>
  </si>
  <si>
    <t>&amp; all supply margins</t>
  </si>
  <si>
    <r>
      <t>Benefit Index Amounts</t>
    </r>
    <r>
      <rPr>
        <sz val="12"/>
        <color theme="1"/>
        <rFont val="Times New Roman"/>
        <family val="2"/>
        <scheme val="minor"/>
      </rPr>
      <t xml:space="preserve"> (constant 2014 dollars per month): benefits accruing as a consequence of working less.</t>
    </r>
  </si>
  <si>
    <t>percentage of workers on exchanges who will get excess credits</t>
  </si>
  <si>
    <t>Medicaid expansions for the poor</t>
  </si>
  <si>
    <t>average[max{0,weeks employed - 6}]</t>
  </si>
  <si>
    <t>% with working spouse, among ESI 1-4 FPL workers</t>
  </si>
  <si>
    <t>Medicaid barriers factor</t>
  </si>
  <si>
    <t>poverty incidence among heads &amp; spouses &lt; 133% FPL</t>
  </si>
  <si>
    <t>Holahan and Headen (2010, p. 5)</t>
  </si>
  <si>
    <t>Program sorted</t>
  </si>
  <si>
    <t>propensity to have commcare among non-working non-elderly heads/spouses, MA (CPS 2010)</t>
  </si>
  <si>
    <t>infinite</t>
  </si>
  <si>
    <t>Medicaid/CHIP expansions</t>
  </si>
  <si>
    <t>Table 5: Romneycare and Related Components of the Statutory Marginal Tax Rate Index</t>
  </si>
  <si>
    <t>benchmark</t>
  </si>
  <si>
    <t>KFF</t>
  </si>
  <si>
    <t>Table 9.  Sensitivity Analysis</t>
  </si>
  <si>
    <t>on average, for almost half of the nonelderly adult population and zero percentage points for the rest</t>
  </si>
  <si>
    <t>30 pct</t>
  </si>
  <si>
    <t>70 pct</t>
  </si>
  <si>
    <t>Exchange participation when leaving ESI jobs</t>
  </si>
  <si>
    <t>Medicaid expansion weight does not translate exactly to heads and spouses affected</t>
  </si>
  <si>
    <t>&amp; supply margins</t>
  </si>
  <si>
    <t>HI assistance for the UE predated Romneycare</t>
  </si>
  <si>
    <t>Medicaid valuation factor</t>
  </si>
  <si>
    <t>low take-up</t>
  </si>
  <si>
    <t>CommCare alternatives paid with pre-tax dollars</t>
  </si>
  <si>
    <t>actual</t>
  </si>
  <si>
    <t>BOE</t>
  </si>
  <si>
    <t>benefit index</t>
  </si>
  <si>
    <t>total contribution</t>
  </si>
  <si>
    <t>program weight, excluding UE margin</t>
  </si>
  <si>
    <t>MA less likely to have ESI workers &amp; median earners in the eligible income range</t>
  </si>
  <si>
    <t>narrower window</t>
  </si>
  <si>
    <t>MA distribution is shifted right</t>
  </si>
  <si>
    <t>**interaction between these two</t>
  </si>
  <si>
    <t>ChartComponents</t>
  </si>
  <si>
    <t>ACA Provisions Changing Marginal Tax Rates</t>
  </si>
  <si>
    <t>Components tab</t>
  </si>
  <si>
    <t>This file has the backup for two companion NBER working papers:</t>
  </si>
  <si>
    <t>and</t>
  </si>
  <si>
    <t>Is the Affordable Care Act Different from Romneycare?  A Labor Economics Perspective</t>
  </si>
  <si>
    <t>README</t>
  </si>
  <si>
    <t>This tab</t>
  </si>
  <si>
    <t>FY2010dollars</t>
  </si>
  <si>
    <t>ACA parameters</t>
  </si>
  <si>
    <t>Romneycare version of Table 1</t>
  </si>
  <si>
    <r>
      <t>TextBackup</t>
    </r>
    <r>
      <rPr>
        <sz val="12"/>
        <color theme="1"/>
        <rFont val="Times New Roman"/>
        <family val="2"/>
        <scheme val="minor"/>
      </rPr>
      <t>MA</t>
    </r>
  </si>
  <si>
    <r>
      <t xml:space="preserve">Backup for statistics reported in the </t>
    </r>
    <r>
      <rPr>
        <sz val="12"/>
        <color theme="1"/>
        <rFont val="Times New Roman"/>
        <family val="2"/>
        <scheme val="minor"/>
      </rPr>
      <t xml:space="preserve">MA </t>
    </r>
    <r>
      <rPr>
        <sz val="12"/>
        <color theme="1"/>
        <rFont val="Times New Roman"/>
        <family val="2"/>
        <scheme val="minor"/>
      </rPr>
      <t>paper's prose</t>
    </r>
  </si>
  <si>
    <t>the other MA tabs</t>
  </si>
  <si>
    <r>
      <t>TextBackup</t>
    </r>
    <r>
      <rPr>
        <sz val="12"/>
        <color theme="1"/>
        <rFont val="Times New Roman"/>
        <family val="2"/>
        <scheme val="minor"/>
      </rPr>
      <t>ACA</t>
    </r>
  </si>
  <si>
    <r>
      <t xml:space="preserve">Backup for statistics reported in the </t>
    </r>
    <r>
      <rPr>
        <sz val="12"/>
        <color theme="1"/>
        <rFont val="Times New Roman"/>
        <family val="2"/>
        <scheme val="minor"/>
      </rPr>
      <t xml:space="preserve">ACA </t>
    </r>
    <r>
      <rPr>
        <sz val="12"/>
        <color theme="1"/>
        <rFont val="Times New Roman"/>
        <family val="2"/>
        <scheme val="minor"/>
      </rPr>
      <t>paper's prose</t>
    </r>
  </si>
  <si>
    <t>August 2013, updated November 2013</t>
  </si>
  <si>
    <t>redistributionrecession.com</t>
  </si>
  <si>
    <t>Appendix II</t>
  </si>
  <si>
    <t>fraction of heads &amp; spouses who would have gotten the full expansion and are below poverty and in an expanding state</t>
  </si>
  <si>
    <t>non-elderly heads &amp; spouses 150-300 FPL with Medicaid or private NGI coverage, MA (CPS 2011 IV)</t>
  </si>
  <si>
    <r>
      <t>Text Backup</t>
    </r>
    <r>
      <rPr>
        <sz val="11"/>
        <color theme="1"/>
        <rFont val="Times New Roman"/>
        <family val="2"/>
        <scheme val="minor"/>
      </rPr>
      <t xml:space="preserve"> (ACA paper)</t>
    </r>
  </si>
  <si>
    <r>
      <t>Text Backup</t>
    </r>
    <r>
      <rPr>
        <sz val="11"/>
        <color theme="1"/>
        <rFont val="Times New Roman"/>
        <family val="2"/>
        <scheme val="minor"/>
      </rPr>
      <t xml:space="preserve"> (Romneycare paper)</t>
    </r>
  </si>
  <si>
    <t>CommCarePremiumschedule.xlsx</t>
  </si>
  <si>
    <t>MAHItrends.do</t>
  </si>
  <si>
    <t>mdearnerft.do, hrstransitions.do, medicaidexpansion.do, decisiondurations.xlsx, CBO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</si>
</sst>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0%"/>
    <numFmt numFmtId="166" formatCode="0.0"/>
    <numFmt numFmtId="167" formatCode="0.000"/>
    <numFmt numFmtId="168" formatCode="0.0000"/>
    <numFmt numFmtId="169" formatCode="#,##0.000"/>
  </numFmts>
  <fonts count="31" x14ac:knownFonts="1">
    <font>
      <sz val="11"/>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2"/>
      <color theme="1"/>
      <name val="Times New Roman"/>
      <family val="2"/>
      <scheme val="minor"/>
    </font>
    <font>
      <sz val="11"/>
      <color theme="1"/>
      <name val="Times New Roman"/>
      <family val="2"/>
      <scheme val="minor"/>
    </font>
    <font>
      <sz val="11"/>
      <color rgb="FF3F3F76"/>
      <name val="Times New Roman"/>
      <family val="2"/>
      <scheme val="minor"/>
    </font>
    <font>
      <b/>
      <sz val="11"/>
      <color theme="1"/>
      <name val="Times New Roman"/>
      <family val="2"/>
      <scheme val="minor"/>
    </font>
    <font>
      <u/>
      <sz val="11"/>
      <color theme="1"/>
      <name val="Times New Roman"/>
      <family val="2"/>
      <scheme val="minor"/>
    </font>
    <font>
      <u/>
      <sz val="11"/>
      <color theme="10"/>
      <name val="Times New Roman"/>
      <family val="2"/>
      <scheme val="minor"/>
    </font>
    <font>
      <sz val="11"/>
      <color theme="1"/>
      <name val="Times New Roman"/>
      <family val="1"/>
      <scheme val="minor"/>
    </font>
    <font>
      <b/>
      <sz val="11"/>
      <color theme="1"/>
      <name val="Times New Roman"/>
      <family val="1"/>
      <scheme val="minor"/>
    </font>
    <font>
      <u/>
      <sz val="11"/>
      <color theme="11"/>
      <name val="Times New Roman"/>
      <family val="2"/>
      <scheme val="minor"/>
    </font>
    <font>
      <i/>
      <sz val="11"/>
      <color theme="1"/>
      <name val="Times New Roman"/>
      <family val="1"/>
      <scheme val="minor"/>
    </font>
    <font>
      <sz val="12"/>
      <color theme="1"/>
      <name val="Times New Roman"/>
      <family val="2"/>
      <scheme val="minor"/>
    </font>
    <font>
      <b/>
      <sz val="12"/>
      <color theme="1"/>
      <name val="Times New Roman"/>
      <family val="2"/>
      <scheme val="minor"/>
    </font>
    <font>
      <u/>
      <sz val="12"/>
      <color theme="1"/>
      <name val="Times New Roman"/>
      <family val="2"/>
      <scheme val="minor"/>
    </font>
    <font>
      <b/>
      <sz val="12"/>
      <color theme="1"/>
      <name val="Times New Roman"/>
      <family val="1"/>
      <scheme val="minor"/>
    </font>
    <font>
      <u/>
      <sz val="11"/>
      <color rgb="FF3F3F76"/>
      <name val="Times New Roman"/>
      <family val="2"/>
      <scheme val="minor"/>
    </font>
    <font>
      <sz val="12"/>
      <color theme="1"/>
      <name val="Times New Roman"/>
      <family val="1"/>
      <scheme val="minor"/>
    </font>
    <font>
      <sz val="11"/>
      <color rgb="FF000000"/>
      <name val="Times New Roman"/>
      <family val="2"/>
      <scheme val="minor"/>
    </font>
    <font>
      <sz val="8"/>
      <name val="Times New Roman"/>
      <family val="2"/>
      <scheme val="minor"/>
    </font>
    <font>
      <sz val="11"/>
      <name val="Times New Roman"/>
      <family val="1"/>
      <scheme val="minor"/>
    </font>
  </fonts>
  <fills count="7">
    <fill>
      <patternFill patternType="none"/>
    </fill>
    <fill>
      <patternFill patternType="gray125"/>
    </fill>
    <fill>
      <patternFill patternType="solid">
        <fgColor rgb="FFFFCC99"/>
      </patternFill>
    </fill>
    <fill>
      <patternFill patternType="solid">
        <fgColor rgb="FFFF0000"/>
        <bgColor indexed="64"/>
      </patternFill>
    </fill>
    <fill>
      <patternFill patternType="solid">
        <fgColor rgb="FF0000FF"/>
        <bgColor indexed="64"/>
      </patternFill>
    </fill>
    <fill>
      <patternFill patternType="solid">
        <fgColor theme="1"/>
        <bgColor indexed="64"/>
      </patternFill>
    </fill>
    <fill>
      <patternFill patternType="solid">
        <fgColor rgb="FF008000"/>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style="thin">
        <color auto="1"/>
      </top>
      <bottom/>
      <diagonal/>
    </border>
  </borders>
  <cellStyleXfs count="421">
    <xf numFmtId="0" fontId="0" fillId="0" borderId="0"/>
    <xf numFmtId="9" fontId="13" fillId="0" borderId="0" applyFont="0" applyFill="0" applyBorder="0" applyAlignment="0" applyProtection="0"/>
    <xf numFmtId="0" fontId="14" fillId="2" borderId="1" applyNumberFormat="0" applyAlignment="0" applyProtection="0"/>
    <xf numFmtId="0" fontId="1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43" fontId="1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133">
    <xf numFmtId="0" fontId="0" fillId="0" borderId="0" xfId="0"/>
    <xf numFmtId="0" fontId="15" fillId="0" borderId="0" xfId="0" applyFont="1"/>
    <xf numFmtId="0" fontId="16" fillId="0" borderId="0" xfId="0" applyFont="1"/>
    <xf numFmtId="164" fontId="14" fillId="2" borderId="1" xfId="2" applyNumberFormat="1"/>
    <xf numFmtId="9" fontId="14" fillId="2" borderId="1" xfId="1" applyFont="1" applyFill="1" applyBorder="1"/>
    <xf numFmtId="10" fontId="14" fillId="2" borderId="1" xfId="1" applyNumberFormat="1" applyFont="1" applyFill="1" applyBorder="1"/>
    <xf numFmtId="2" fontId="0" fillId="0" borderId="0" xfId="0" applyNumberFormat="1"/>
    <xf numFmtId="166" fontId="0" fillId="0" borderId="0" xfId="0" applyNumberFormat="1"/>
    <xf numFmtId="1" fontId="0" fillId="0" borderId="0" xfId="0" applyNumberFormat="1"/>
    <xf numFmtId="165" fontId="14" fillId="2" borderId="1" xfId="2" applyNumberFormat="1"/>
    <xf numFmtId="14" fontId="0" fillId="0" borderId="0" xfId="0" applyNumberFormat="1"/>
    <xf numFmtId="14" fontId="17" fillId="0" borderId="0" xfId="3" applyNumberFormat="1"/>
    <xf numFmtId="0" fontId="14" fillId="2" borderId="1" xfId="2" applyNumberFormat="1"/>
    <xf numFmtId="0" fontId="18" fillId="0" borderId="0" xfId="0" applyFont="1"/>
    <xf numFmtId="0" fontId="19" fillId="0" borderId="0" xfId="0" applyFont="1"/>
    <xf numFmtId="0" fontId="16" fillId="0" borderId="0" xfId="0" applyFont="1" applyAlignment="1">
      <alignment horizontal="right"/>
    </xf>
    <xf numFmtId="0" fontId="16" fillId="0" borderId="0" xfId="0" applyFont="1" applyAlignment="1">
      <alignment horizontal="left"/>
    </xf>
    <xf numFmtId="0" fontId="14" fillId="2" borderId="1" xfId="2"/>
    <xf numFmtId="10" fontId="0" fillId="0" borderId="0" xfId="0" applyNumberFormat="1"/>
    <xf numFmtId="0" fontId="0" fillId="0" borderId="0" xfId="0" applyAlignment="1">
      <alignment horizontal="left" indent="1"/>
    </xf>
    <xf numFmtId="10" fontId="14" fillId="2" borderId="1" xfId="2" applyNumberFormat="1"/>
    <xf numFmtId="0" fontId="0" fillId="0" borderId="0" xfId="0" applyAlignment="1">
      <alignment horizontal="left"/>
    </xf>
    <xf numFmtId="1" fontId="19" fillId="0" borderId="0" xfId="0" applyNumberFormat="1" applyFont="1"/>
    <xf numFmtId="0" fontId="0" fillId="0" borderId="0" xfId="0" applyFill="1" applyBorder="1" applyAlignment="1">
      <alignment horizontal="left"/>
    </xf>
    <xf numFmtId="167" fontId="16" fillId="0" borderId="0" xfId="0" applyNumberFormat="1" applyFont="1"/>
    <xf numFmtId="165" fontId="19" fillId="0" borderId="0" xfId="1" applyNumberFormat="1" applyFont="1"/>
    <xf numFmtId="1" fontId="14" fillId="2" borderId="1" xfId="2" applyNumberFormat="1"/>
    <xf numFmtId="165" fontId="0" fillId="0" borderId="0" xfId="0" applyNumberFormat="1"/>
    <xf numFmtId="10" fontId="0" fillId="0" borderId="0" xfId="1" applyNumberFormat="1" applyFont="1"/>
    <xf numFmtId="0" fontId="0" fillId="0" borderId="0" xfId="0" applyFont="1" applyAlignment="1">
      <alignment horizontal="right"/>
    </xf>
    <xf numFmtId="2" fontId="16" fillId="0" borderId="0" xfId="0" applyNumberFormat="1" applyFont="1"/>
    <xf numFmtId="0" fontId="0" fillId="0" borderId="0" xfId="0" quotePrefix="1"/>
    <xf numFmtId="168" fontId="0" fillId="0" borderId="0" xfId="0" applyNumberFormat="1"/>
    <xf numFmtId="9" fontId="0" fillId="0" borderId="0" xfId="1" applyFont="1"/>
    <xf numFmtId="0" fontId="0" fillId="0" borderId="0" xfId="1" applyNumberFormat="1" applyFont="1"/>
    <xf numFmtId="164" fontId="0" fillId="0" borderId="0" xfId="13" applyNumberFormat="1" applyFont="1"/>
    <xf numFmtId="2" fontId="0" fillId="0" borderId="0" xfId="1" applyNumberFormat="1" applyFont="1"/>
    <xf numFmtId="1" fontId="0" fillId="0" borderId="0" xfId="1" applyNumberFormat="1" applyFont="1"/>
    <xf numFmtId="9" fontId="14" fillId="2" borderId="1" xfId="2" applyNumberFormat="1"/>
    <xf numFmtId="2" fontId="14" fillId="2" borderId="1" xfId="2" applyNumberFormat="1"/>
    <xf numFmtId="0" fontId="21" fillId="0" borderId="0" xfId="0" applyFont="1"/>
    <xf numFmtId="0" fontId="22" fillId="0" borderId="0" xfId="0" applyFont="1"/>
    <xf numFmtId="0" fontId="23" fillId="0" borderId="0" xfId="0" applyFont="1"/>
    <xf numFmtId="0" fontId="24" fillId="0" borderId="0" xfId="0" applyFont="1"/>
    <xf numFmtId="0" fontId="24" fillId="0" borderId="0" xfId="0" applyFont="1" applyAlignment="1">
      <alignment horizontal="right"/>
    </xf>
    <xf numFmtId="0" fontId="24" fillId="0" borderId="0" xfId="0" applyFont="1" applyAlignment="1">
      <alignment horizontal="left"/>
    </xf>
    <xf numFmtId="1" fontId="22" fillId="0" borderId="0" xfId="0" applyNumberFormat="1" applyFont="1"/>
    <xf numFmtId="2" fontId="22" fillId="0" borderId="0" xfId="0" applyNumberFormat="1" applyFont="1"/>
    <xf numFmtId="1" fontId="23" fillId="0" borderId="0" xfId="0" applyNumberFormat="1" applyFont="1"/>
    <xf numFmtId="167" fontId="24" fillId="0" borderId="0" xfId="0" applyNumberFormat="1" applyFont="1"/>
    <xf numFmtId="0" fontId="25" fillId="0" borderId="0" xfId="0" applyFont="1"/>
    <xf numFmtId="1" fontId="23" fillId="0" borderId="0" xfId="0" applyNumberFormat="1" applyFont="1" applyAlignment="1"/>
    <xf numFmtId="0" fontId="23" fillId="0" borderId="0" xfId="0" applyFont="1" applyAlignment="1">
      <alignment horizontal="left" indent="1"/>
    </xf>
    <xf numFmtId="3" fontId="0" fillId="0" borderId="0" xfId="1" applyNumberFormat="1" applyFont="1"/>
    <xf numFmtId="3" fontId="14" fillId="2" borderId="1" xfId="2" applyNumberFormat="1"/>
    <xf numFmtId="167" fontId="0" fillId="0" borderId="0" xfId="1" applyNumberFormat="1" applyFont="1"/>
    <xf numFmtId="167" fontId="14" fillId="2" borderId="1" xfId="2" applyNumberFormat="1"/>
    <xf numFmtId="1" fontId="24" fillId="0" borderId="0" xfId="0" applyNumberFormat="1" applyFont="1"/>
    <xf numFmtId="0" fontId="0" fillId="0" borderId="0" xfId="0" applyAlignment="1">
      <alignment horizontal="center"/>
    </xf>
    <xf numFmtId="0" fontId="0" fillId="0" borderId="0" xfId="0" applyAlignment="1">
      <alignment vertical="center"/>
    </xf>
    <xf numFmtId="0" fontId="22" fillId="0" borderId="0" xfId="0" applyFont="1" applyAlignment="1">
      <alignment horizontal="right"/>
    </xf>
    <xf numFmtId="0" fontId="22" fillId="0" borderId="0" xfId="0" applyFont="1" applyAlignment="1">
      <alignment vertical="center"/>
    </xf>
    <xf numFmtId="0" fontId="22" fillId="0" borderId="0" xfId="0" quotePrefix="1" applyFont="1" applyAlignment="1"/>
    <xf numFmtId="0" fontId="22" fillId="0" borderId="0" xfId="0" applyFont="1" applyAlignment="1"/>
    <xf numFmtId="0" fontId="22" fillId="0" borderId="0" xfId="0" applyFont="1" applyBorder="1"/>
    <xf numFmtId="0" fontId="22" fillId="0" borderId="2" xfId="0" applyFont="1" applyBorder="1"/>
    <xf numFmtId="0" fontId="22" fillId="3" borderId="0" xfId="0" applyFont="1" applyFill="1"/>
    <xf numFmtId="0" fontId="22" fillId="0" borderId="0" xfId="0" applyFont="1" applyFill="1"/>
    <xf numFmtId="0" fontId="22" fillId="4" borderId="0" xfId="0" applyFont="1" applyFill="1"/>
    <xf numFmtId="0" fontId="22" fillId="5" borderId="0" xfId="0" applyFont="1" applyFill="1"/>
    <xf numFmtId="0" fontId="22" fillId="6" borderId="0" xfId="0" applyFont="1" applyFill="1"/>
    <xf numFmtId="167" fontId="22" fillId="0" borderId="0" xfId="0" applyNumberFormat="1" applyFont="1"/>
    <xf numFmtId="0" fontId="16" fillId="0" borderId="0" xfId="0" applyFont="1" applyAlignment="1">
      <alignment vertical="center"/>
    </xf>
    <xf numFmtId="0" fontId="26" fillId="2" borderId="1" xfId="2" applyFont="1"/>
    <xf numFmtId="167" fontId="0" fillId="0" borderId="0" xfId="0" applyNumberFormat="1"/>
    <xf numFmtId="0" fontId="0" fillId="0" borderId="0" xfId="0" applyNumberFormat="1"/>
    <xf numFmtId="2" fontId="0" fillId="0" borderId="0" xfId="0" applyNumberFormat="1" applyFont="1"/>
    <xf numFmtId="3" fontId="22" fillId="0" borderId="0" xfId="13" applyNumberFormat="1" applyFont="1"/>
    <xf numFmtId="2" fontId="27" fillId="0" borderId="0" xfId="0" applyNumberFormat="1" applyFont="1"/>
    <xf numFmtId="0" fontId="22" fillId="0" borderId="0" xfId="0" applyFont="1" applyAlignment="1">
      <alignment horizontal="left" vertical="center"/>
    </xf>
    <xf numFmtId="167" fontId="22" fillId="0" borderId="0" xfId="0" applyNumberFormat="1" applyFont="1" applyAlignment="1">
      <alignment horizontal="right" vertical="center"/>
    </xf>
    <xf numFmtId="165" fontId="18" fillId="0" borderId="0" xfId="1" applyNumberFormat="1" applyFont="1"/>
    <xf numFmtId="0" fontId="12" fillId="0" borderId="0" xfId="0" applyFont="1"/>
    <xf numFmtId="164" fontId="14" fillId="2" borderId="1" xfId="13" applyNumberFormat="1" applyFont="1" applyFill="1" applyBorder="1"/>
    <xf numFmtId="0" fontId="28" fillId="0" borderId="0" xfId="0" applyFont="1"/>
    <xf numFmtId="165" fontId="14" fillId="2" borderId="1" xfId="1" applyNumberFormat="1" applyFont="1" applyFill="1" applyBorder="1"/>
    <xf numFmtId="165" fontId="0" fillId="0" borderId="0" xfId="1" applyNumberFormat="1" applyFont="1"/>
    <xf numFmtId="37" fontId="14" fillId="2" borderId="1" xfId="13" applyNumberFormat="1" applyFont="1" applyFill="1" applyBorder="1"/>
    <xf numFmtId="0" fontId="0" fillId="0" borderId="0" xfId="0" applyFont="1"/>
    <xf numFmtId="4" fontId="14" fillId="2" borderId="1" xfId="2" applyNumberFormat="1"/>
    <xf numFmtId="169" fontId="14" fillId="2" borderId="1" xfId="2" applyNumberFormat="1"/>
    <xf numFmtId="0" fontId="11" fillId="0" borderId="0" xfId="0" applyFont="1"/>
    <xf numFmtId="0" fontId="10" fillId="0" borderId="0" xfId="0" applyFont="1"/>
    <xf numFmtId="0" fontId="9" fillId="0" borderId="0" xfId="0" applyFont="1"/>
    <xf numFmtId="0" fontId="8" fillId="0" borderId="0" xfId="0" applyFont="1"/>
    <xf numFmtId="1" fontId="8" fillId="0" borderId="0" xfId="0" applyNumberFormat="1" applyFont="1"/>
    <xf numFmtId="165" fontId="8" fillId="0" borderId="0" xfId="1" applyNumberFormat="1" applyFont="1"/>
    <xf numFmtId="0" fontId="8" fillId="0" borderId="0" xfId="0" quotePrefix="1" applyFont="1"/>
    <xf numFmtId="166" fontId="8" fillId="0" borderId="0" xfId="0" applyNumberFormat="1" applyFont="1"/>
    <xf numFmtId="0" fontId="7" fillId="0" borderId="0" xfId="0" applyFont="1" applyAlignment="1">
      <alignment horizontal="left" wrapText="1"/>
    </xf>
    <xf numFmtId="0" fontId="6" fillId="0" borderId="0" xfId="0" applyFont="1"/>
    <xf numFmtId="9" fontId="0" fillId="0" borderId="0" xfId="0" applyNumberFormat="1"/>
    <xf numFmtId="0" fontId="30" fillId="0" borderId="0" xfId="0" applyFont="1"/>
    <xf numFmtId="3" fontId="0" fillId="0" borderId="0" xfId="0" applyNumberFormat="1"/>
    <xf numFmtId="0" fontId="5" fillId="0" borderId="0" xfId="0" applyFont="1"/>
    <xf numFmtId="0" fontId="4" fillId="0" borderId="0" xfId="0" applyFont="1"/>
    <xf numFmtId="10" fontId="8" fillId="0" borderId="0" xfId="0" applyNumberFormat="1" applyFont="1"/>
    <xf numFmtId="3" fontId="8" fillId="0" borderId="0" xfId="0" applyNumberFormat="1" applyFont="1"/>
    <xf numFmtId="2" fontId="8" fillId="0" borderId="0" xfId="0" applyNumberFormat="1" applyFont="1"/>
    <xf numFmtId="0" fontId="3" fillId="0" borderId="0" xfId="0" applyFont="1"/>
    <xf numFmtId="0" fontId="2" fillId="0" borderId="0" xfId="0" applyFont="1"/>
    <xf numFmtId="166" fontId="0" fillId="0" borderId="0" xfId="1" applyNumberFormat="1" applyFont="1"/>
    <xf numFmtId="166" fontId="14" fillId="2" borderId="1" xfId="2" applyNumberFormat="1"/>
    <xf numFmtId="0" fontId="1" fillId="0" borderId="0" xfId="0" applyFont="1"/>
    <xf numFmtId="9" fontId="0" fillId="0" borderId="0" xfId="1" applyNumberFormat="1" applyFont="1"/>
    <xf numFmtId="1" fontId="1" fillId="0" borderId="0" xfId="0" applyNumberFormat="1" applyFont="1" applyAlignment="1">
      <alignment horizontal="right"/>
    </xf>
    <xf numFmtId="0" fontId="1" fillId="0" borderId="0" xfId="0" quotePrefix="1" applyFont="1"/>
    <xf numFmtId="0" fontId="0" fillId="0" borderId="0" xfId="0" applyAlignment="1">
      <alignment horizontal="center"/>
    </xf>
    <xf numFmtId="0" fontId="22" fillId="0" borderId="0" xfId="0" applyFont="1" applyAlignment="1">
      <alignment horizontal="center"/>
    </xf>
    <xf numFmtId="165" fontId="23" fillId="0" borderId="0" xfId="1" applyNumberFormat="1" applyFont="1" applyAlignment="1">
      <alignment horizontal="center"/>
    </xf>
    <xf numFmtId="0" fontId="23" fillId="0" borderId="0" xfId="0" applyFont="1" applyAlignment="1">
      <alignment horizontal="center"/>
    </xf>
    <xf numFmtId="0" fontId="22" fillId="0" borderId="0" xfId="0" applyFont="1" applyAlignment="1">
      <alignment horizontal="left" vertical="center" wrapText="1"/>
    </xf>
    <xf numFmtId="0" fontId="23" fillId="0" borderId="0" xfId="0" applyFont="1" applyAlignment="1">
      <alignment horizontal="left"/>
    </xf>
    <xf numFmtId="167" fontId="22" fillId="0" borderId="0" xfId="0" applyNumberFormat="1" applyFont="1" applyBorder="1" applyAlignment="1">
      <alignment horizontal="right" vertical="center"/>
    </xf>
    <xf numFmtId="167" fontId="22" fillId="0" borderId="2" xfId="0" applyNumberFormat="1" applyFont="1" applyBorder="1" applyAlignment="1">
      <alignment horizontal="right" vertical="center"/>
    </xf>
    <xf numFmtId="0" fontId="22" fillId="0" borderId="3" xfId="0" applyFont="1" applyBorder="1" applyAlignment="1">
      <alignment horizontal="center" vertical="center"/>
    </xf>
    <xf numFmtId="0" fontId="22" fillId="0" borderId="0" xfId="0" applyFont="1" applyBorder="1" applyAlignment="1">
      <alignment horizontal="center" vertical="center"/>
    </xf>
    <xf numFmtId="167" fontId="22" fillId="0" borderId="0" xfId="0" applyNumberFormat="1" applyFont="1" applyAlignment="1">
      <alignment horizontal="righ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quotePrefix="1" applyFont="1" applyAlignment="1">
      <alignment horizontal="left" vertical="center"/>
    </xf>
  </cellXfs>
  <cellStyles count="421">
    <cellStyle name="Comma" xfId="13" builtinId="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Hyperlink" xfId="3" builtinId="8"/>
    <cellStyle name="Input" xfId="2" builtinId="20"/>
    <cellStyle name="Normal" xfId="0" builtinId="0"/>
    <cellStyle name="Percent" xfId="1" builtinId="5"/>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a:t>
            </a:r>
            <a:r>
              <a:rPr lang="en-US" baseline="0"/>
              <a:t> 2.  ACA Provisions Changing Marginal Tax Rates</a:t>
            </a:r>
          </a:p>
          <a:p>
            <a:pPr>
              <a:defRPr/>
            </a:pPr>
            <a:r>
              <a:rPr lang="en-US" sz="1200" b="0" baseline="0"/>
              <a:t>Provisions sum to the 4.8 percentage point overall impact</a:t>
            </a:r>
            <a:endParaRPr lang="en-US" sz="1400" b="0"/>
          </a:p>
        </c:rich>
      </c:tx>
      <c:layout/>
      <c:overlay val="0"/>
    </c:title>
    <c:autoTitleDeleted val="0"/>
    <c:plotArea>
      <c:layout>
        <c:manualLayout>
          <c:layoutTarget val="inner"/>
          <c:xMode val="edge"/>
          <c:yMode val="edge"/>
          <c:x val="0.1925364684044337"/>
          <c:y val="0.10096339750895474"/>
          <c:w val="0.70237012178230052"/>
          <c:h val="0.80712954223990552"/>
        </c:manualLayout>
      </c:layout>
      <c:barChart>
        <c:barDir val="bar"/>
        <c:grouping val="clustered"/>
        <c:varyColors val="0"/>
        <c:ser>
          <c:idx val="0"/>
          <c:order val="0"/>
          <c:invertIfNegative val="0"/>
          <c:cat>
            <c:strRef>
              <c:f>Components!$A$23:$A$31</c:f>
              <c:strCache>
                <c:ptCount val="9"/>
                <c:pt idx="0">
                  <c:v>Move off implicit uncompensated care tax       </c:v>
                </c:pt>
                <c:pt idx="1">
                  <c:v>HI subsidies stop at the poverty line       </c:v>
                </c:pt>
                <c:pt idx="2">
                  <c:v>Implicit taxation of unemployment benefits       </c:v>
                </c:pt>
                <c:pt idx="3">
                  <c:v>Individual mandate penalty</c:v>
                </c:pt>
                <c:pt idx="4">
                  <c:v>Reconcile advance premium credits</c:v>
                </c:pt>
                <c:pt idx="5">
                  <c:v>Medicaid expansions for the poor</c:v>
                </c:pt>
                <c:pt idx="6">
                  <c:v>Employer shared responsibility penalty</c:v>
                </c:pt>
                <c:pt idx="7">
                  <c:v>HI subsidies for persons w/o ESI at work</c:v>
                </c:pt>
                <c:pt idx="8">
                  <c:v>HI subsidies for persons w/ ESI at work</c:v>
                </c:pt>
              </c:strCache>
            </c:strRef>
          </c:cat>
          <c:val>
            <c:numRef>
              <c:f>Components!$G$23:$G$31</c:f>
              <c:numCache>
                <c:formatCode>0.0</c:formatCode>
                <c:ptCount val="9"/>
                <c:pt idx="0">
                  <c:v>-0.1526665477555951</c:v>
                </c:pt>
                <c:pt idx="1">
                  <c:v>-0.16779650643338767</c:v>
                </c:pt>
                <c:pt idx="2">
                  <c:v>-0.22835266585907465</c:v>
                </c:pt>
                <c:pt idx="3">
                  <c:v>0.13123193529791333</c:v>
                </c:pt>
                <c:pt idx="4">
                  <c:v>0.16288000217439147</c:v>
                </c:pt>
                <c:pt idx="5">
                  <c:v>0.32841073171731017</c:v>
                </c:pt>
                <c:pt idx="6">
                  <c:v>1.1006079632974399</c:v>
                </c:pt>
                <c:pt idx="7">
                  <c:v>1.742573738285103</c:v>
                </c:pt>
                <c:pt idx="8">
                  <c:v>1.9198197712065541</c:v>
                </c:pt>
              </c:numCache>
            </c:numRef>
          </c:val>
        </c:ser>
        <c:dLbls>
          <c:showLegendKey val="0"/>
          <c:showVal val="0"/>
          <c:showCatName val="0"/>
          <c:showSerName val="0"/>
          <c:showPercent val="0"/>
          <c:showBubbleSize val="0"/>
        </c:dLbls>
        <c:gapWidth val="150"/>
        <c:axId val="147580032"/>
        <c:axId val="147581568"/>
      </c:barChart>
      <c:catAx>
        <c:axId val="147580032"/>
        <c:scaling>
          <c:orientation val="minMax"/>
        </c:scaling>
        <c:delete val="0"/>
        <c:axPos val="l"/>
        <c:majorTickMark val="out"/>
        <c:minorTickMark val="none"/>
        <c:tickLblPos val="nextTo"/>
        <c:txPr>
          <a:bodyPr/>
          <a:lstStyle/>
          <a:p>
            <a:pPr>
              <a:defRPr sz="1400"/>
            </a:pPr>
            <a:endParaRPr lang="en-US"/>
          </a:p>
        </c:txPr>
        <c:crossAx val="147581568"/>
        <c:crosses val="autoZero"/>
        <c:auto val="1"/>
        <c:lblAlgn val="ctr"/>
        <c:lblOffset val="100"/>
        <c:noMultiLvlLbl val="0"/>
      </c:catAx>
      <c:valAx>
        <c:axId val="147581568"/>
        <c:scaling>
          <c:orientation val="minMax"/>
        </c:scaling>
        <c:delete val="0"/>
        <c:axPos val="b"/>
        <c:title>
          <c:tx>
            <c:rich>
              <a:bodyPr/>
              <a:lstStyle/>
              <a:p>
                <a:pPr>
                  <a:defRPr sz="1400"/>
                </a:pPr>
                <a:r>
                  <a:rPr lang="en-US" sz="1400"/>
                  <a:t>Percentage</a:t>
                </a:r>
                <a:r>
                  <a:rPr lang="en-US" sz="1400" baseline="0"/>
                  <a:t> points added to Overall MTR in 2015</a:t>
                </a:r>
                <a:endParaRPr lang="en-US" sz="1400"/>
              </a:p>
            </c:rich>
          </c:tx>
          <c:layout/>
          <c:overlay val="0"/>
        </c:title>
        <c:numFmt formatCode="0.0" sourceLinked="1"/>
        <c:majorTickMark val="out"/>
        <c:minorTickMark val="none"/>
        <c:tickLblPos val="nextTo"/>
        <c:txPr>
          <a:bodyPr/>
          <a:lstStyle/>
          <a:p>
            <a:pPr>
              <a:defRPr sz="1400"/>
            </a:pPr>
            <a:endParaRPr lang="en-US"/>
          </a:p>
        </c:txPr>
        <c:crossAx val="147580032"/>
        <c:crosses val="autoZero"/>
        <c:crossBetween val="between"/>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3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9752" cy="62894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0.05117</cdr:x>
      <cdr:y>0.24624</cdr:y>
    </cdr:from>
    <cdr:to>
      <cdr:x>0.40101</cdr:x>
      <cdr:y>0.29017</cdr:y>
    </cdr:to>
    <cdr:sp macro="" textlink="">
      <cdr:nvSpPr>
        <cdr:cNvPr id="2" name="TextBox 1"/>
        <cdr:cNvSpPr txBox="1"/>
      </cdr:nvSpPr>
      <cdr:spPr>
        <a:xfrm xmlns:a="http://schemas.openxmlformats.org/drawingml/2006/main">
          <a:off x="443531" y="1548721"/>
          <a:ext cx="3032004" cy="27629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(includes the non-employed</a:t>
          </a:r>
          <a:r>
            <a:rPr lang="en-US" sz="1100" baseline="0"/>
            <a:t> absent from ESI jobs)</a:t>
          </a:r>
          <a:endParaRPr lang="en-US" sz="1100"/>
        </a:p>
      </cdr:txBody>
    </cdr:sp>
  </cdr:relSizeAnchor>
</c:userShapes>
</file>

<file path=xl/theme/theme1.xml><?xml version="1.0" encoding="utf-8"?>
<a:theme xmlns:a="http://schemas.openxmlformats.org/drawingml/2006/main" name="CBMTRom">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BMThemeTR">
      <a:majorFont>
        <a:latin typeface="Cambria"/>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hyperlink" Target="http://research.stlouisfed.org/fred2/series/PCEPI"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heetViews>
  <sheetFormatPr defaultColWidth="11.42578125" defaultRowHeight="15" x14ac:dyDescent="0.25"/>
  <cols>
    <col min="1" max="1" width="20.140625" bestFit="1" customWidth="1"/>
    <col min="2" max="2" width="59.28515625" bestFit="1" customWidth="1"/>
    <col min="3" max="3" width="65.7109375" bestFit="1" customWidth="1"/>
  </cols>
  <sheetData>
    <row r="1" spans="1:6" ht="15.75" x14ac:dyDescent="0.25">
      <c r="A1" s="113" t="s">
        <v>367</v>
      </c>
    </row>
    <row r="2" spans="1:6" ht="15.75" x14ac:dyDescent="0.25">
      <c r="A2" s="42" t="s">
        <v>163</v>
      </c>
      <c r="B2" s="113"/>
      <c r="C2" s="113"/>
    </row>
    <row r="3" spans="1:6" ht="15.75" x14ac:dyDescent="0.25">
      <c r="A3" s="113" t="s">
        <v>368</v>
      </c>
      <c r="B3" s="113"/>
      <c r="C3" s="113"/>
    </row>
    <row r="4" spans="1:6" ht="15.75" x14ac:dyDescent="0.25">
      <c r="A4" s="42" t="s">
        <v>369</v>
      </c>
      <c r="B4" s="113"/>
      <c r="C4" s="113"/>
    </row>
    <row r="5" spans="1:6" ht="15.75" x14ac:dyDescent="0.25">
      <c r="A5" s="113" t="s">
        <v>164</v>
      </c>
      <c r="B5" s="113"/>
      <c r="C5" s="113"/>
    </row>
    <row r="6" spans="1:6" ht="15.75" x14ac:dyDescent="0.25">
      <c r="A6" s="116" t="s">
        <v>380</v>
      </c>
      <c r="B6" s="113"/>
      <c r="C6" s="113"/>
    </row>
    <row r="7" spans="1:6" ht="15.75" x14ac:dyDescent="0.25">
      <c r="A7" s="113"/>
      <c r="B7" s="113"/>
      <c r="C7" s="113"/>
    </row>
    <row r="8" spans="1:6" ht="15.75" x14ac:dyDescent="0.25">
      <c r="A8" s="43" t="s">
        <v>165</v>
      </c>
      <c r="B8" s="43" t="s">
        <v>166</v>
      </c>
      <c r="C8" s="43" t="s">
        <v>168</v>
      </c>
      <c r="D8" s="43"/>
      <c r="E8" s="43"/>
      <c r="F8" s="43"/>
    </row>
    <row r="9" spans="1:6" ht="15.75" x14ac:dyDescent="0.25">
      <c r="A9" s="113" t="s">
        <v>370</v>
      </c>
      <c r="B9" s="113" t="s">
        <v>371</v>
      </c>
      <c r="C9" s="43"/>
    </row>
    <row r="10" spans="1:6" ht="15.75" x14ac:dyDescent="0.25">
      <c r="A10" s="113" t="s">
        <v>372</v>
      </c>
      <c r="B10" s="113" t="s">
        <v>167</v>
      </c>
      <c r="C10" s="113" t="s">
        <v>172</v>
      </c>
      <c r="D10" s="113"/>
      <c r="E10" s="82"/>
      <c r="F10" s="82"/>
    </row>
    <row r="11" spans="1:6" ht="15.75" x14ac:dyDescent="0.25">
      <c r="A11" s="113" t="s">
        <v>170</v>
      </c>
      <c r="B11" s="113" t="s">
        <v>179</v>
      </c>
      <c r="C11" s="113" t="s">
        <v>173</v>
      </c>
      <c r="D11" s="82"/>
      <c r="E11" s="82"/>
      <c r="F11" s="82"/>
    </row>
    <row r="12" spans="1:6" ht="15.75" x14ac:dyDescent="0.25">
      <c r="A12" s="113" t="s">
        <v>6</v>
      </c>
      <c r="B12" s="113" t="s">
        <v>373</v>
      </c>
      <c r="C12" s="113" t="s">
        <v>389</v>
      </c>
      <c r="D12" s="82"/>
      <c r="E12" s="82"/>
      <c r="F12" s="82"/>
    </row>
    <row r="13" spans="1:6" ht="15.75" x14ac:dyDescent="0.25">
      <c r="A13" s="113" t="s">
        <v>91</v>
      </c>
      <c r="B13" s="113" t="s">
        <v>181</v>
      </c>
      <c r="C13" s="113" t="s">
        <v>257</v>
      </c>
      <c r="D13" s="82"/>
      <c r="E13" s="82"/>
      <c r="F13" s="91"/>
    </row>
    <row r="14" spans="1:6" ht="15.75" x14ac:dyDescent="0.25">
      <c r="A14" s="113" t="s">
        <v>364</v>
      </c>
      <c r="B14" s="113" t="s">
        <v>365</v>
      </c>
      <c r="C14" s="113" t="s">
        <v>366</v>
      </c>
    </row>
    <row r="15" spans="1:6" ht="15.75" x14ac:dyDescent="0.25">
      <c r="A15" s="113" t="s">
        <v>171</v>
      </c>
      <c r="B15" s="113" t="s">
        <v>180</v>
      </c>
      <c r="C15" s="113" t="s">
        <v>176</v>
      </c>
      <c r="D15" s="82"/>
      <c r="E15" s="82"/>
      <c r="F15" s="82"/>
    </row>
    <row r="16" spans="1:6" ht="15.75" x14ac:dyDescent="0.25">
      <c r="A16" s="113" t="s">
        <v>297</v>
      </c>
      <c r="B16" s="113" t="s">
        <v>305</v>
      </c>
      <c r="C16" s="113" t="s">
        <v>298</v>
      </c>
      <c r="D16" s="104"/>
      <c r="E16" s="105"/>
      <c r="F16" s="104"/>
    </row>
    <row r="17" spans="1:6" ht="15.75" x14ac:dyDescent="0.25">
      <c r="A17" s="113" t="s">
        <v>250</v>
      </c>
      <c r="B17" s="113" t="s">
        <v>251</v>
      </c>
      <c r="C17" s="113" t="s">
        <v>252</v>
      </c>
      <c r="D17" s="91"/>
      <c r="E17" s="91"/>
    </row>
    <row r="18" spans="1:6" ht="15.75" x14ac:dyDescent="0.25">
      <c r="A18" s="113" t="s">
        <v>254</v>
      </c>
      <c r="B18" s="113" t="s">
        <v>374</v>
      </c>
      <c r="C18" s="113" t="s">
        <v>253</v>
      </c>
      <c r="D18" s="91"/>
      <c r="E18" s="91"/>
      <c r="F18" s="91"/>
    </row>
    <row r="19" spans="1:6" ht="15.75" x14ac:dyDescent="0.25">
      <c r="A19" s="113" t="s">
        <v>255</v>
      </c>
      <c r="B19" s="113" t="s">
        <v>256</v>
      </c>
      <c r="C19" s="113" t="s">
        <v>258</v>
      </c>
      <c r="D19" s="91"/>
      <c r="E19" s="91"/>
      <c r="F19" s="91"/>
    </row>
    <row r="20" spans="1:6" ht="15.75" x14ac:dyDescent="0.25">
      <c r="A20" s="113" t="s">
        <v>375</v>
      </c>
      <c r="B20" s="113" t="s">
        <v>376</v>
      </c>
      <c r="C20" s="113" t="s">
        <v>377</v>
      </c>
      <c r="D20" s="104"/>
      <c r="E20" s="104"/>
      <c r="F20" s="104"/>
    </row>
    <row r="21" spans="1:6" ht="15.75" x14ac:dyDescent="0.25">
      <c r="A21" s="113" t="s">
        <v>378</v>
      </c>
      <c r="B21" s="113" t="s">
        <v>379</v>
      </c>
      <c r="C21" s="113" t="s">
        <v>299</v>
      </c>
    </row>
    <row r="22" spans="1:6" ht="15.75" x14ac:dyDescent="0.25">
      <c r="A22" s="113" t="s">
        <v>169</v>
      </c>
      <c r="B22" s="113" t="s">
        <v>177</v>
      </c>
      <c r="C22" s="113" t="s">
        <v>178</v>
      </c>
      <c r="D22" s="82"/>
      <c r="E22" s="82"/>
      <c r="F22" s="82"/>
    </row>
    <row r="23" spans="1:6" ht="15.75" x14ac:dyDescent="0.25">
      <c r="A23" s="113" t="s">
        <v>174</v>
      </c>
      <c r="B23" s="113" t="s">
        <v>175</v>
      </c>
      <c r="C23" s="113" t="s">
        <v>142</v>
      </c>
      <c r="D23" s="82"/>
      <c r="E23" s="82"/>
      <c r="F23" s="82"/>
    </row>
  </sheetData>
  <pageMargins left="0.75" right="0.75" top="1" bottom="1" header="0.5" footer="0.5"/>
  <pageSetup orientation="portrait" horizontalDpi="4294967292" verticalDpi="42949672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ColWidth="11.42578125" defaultRowHeight="15" x14ac:dyDescent="0.25"/>
  <cols>
    <col min="1" max="1" width="38" bestFit="1" customWidth="1"/>
  </cols>
  <sheetData>
    <row r="1" spans="1:7" ht="15.75" x14ac:dyDescent="0.25">
      <c r="A1" s="42" t="s">
        <v>261</v>
      </c>
      <c r="B1" s="94"/>
      <c r="C1" s="94"/>
      <c r="D1" s="94"/>
      <c r="E1" s="94"/>
      <c r="F1" s="94"/>
    </row>
    <row r="2" spans="1:7" ht="15.75" x14ac:dyDescent="0.25">
      <c r="A2" s="94"/>
      <c r="B2" s="94"/>
      <c r="C2" s="94"/>
      <c r="D2" s="94"/>
      <c r="E2" s="94"/>
      <c r="F2" s="94"/>
    </row>
    <row r="3" spans="1:7" ht="15.75" x14ac:dyDescent="0.25">
      <c r="A3" s="94" t="s">
        <v>272</v>
      </c>
      <c r="B3" s="94"/>
      <c r="C3" s="94"/>
      <c r="D3" s="94"/>
      <c r="E3" s="94"/>
      <c r="F3" s="94"/>
    </row>
    <row r="4" spans="1:7" ht="15.75" x14ac:dyDescent="0.25">
      <c r="A4" s="94"/>
      <c r="B4" s="94"/>
      <c r="C4" s="94"/>
      <c r="D4" s="94"/>
      <c r="E4" s="94"/>
      <c r="F4" s="94"/>
    </row>
    <row r="5" spans="1:7" ht="15.75" x14ac:dyDescent="0.25">
      <c r="A5" s="43" t="s">
        <v>2</v>
      </c>
      <c r="B5" s="44" t="s">
        <v>244</v>
      </c>
      <c r="C5" s="44" t="s">
        <v>245</v>
      </c>
      <c r="D5" s="43" t="s">
        <v>262</v>
      </c>
      <c r="E5" s="94"/>
      <c r="F5" s="94"/>
      <c r="G5" s="92"/>
    </row>
    <row r="6" spans="1:7" ht="15.75" x14ac:dyDescent="0.25">
      <c r="A6" s="94" t="s">
        <v>247</v>
      </c>
      <c r="B6" s="95">
        <f>MATable1!B8*MATable1!B20*MATable1!$B$31+MATable1!C8*MATable1!C20*MATable1!$C$31+MATable1!D8*MATable1!D20*MATable1!$D$31</f>
        <v>4.3203727368439893</v>
      </c>
      <c r="C6" s="95">
        <f>Components!F9</f>
        <v>46.505032789778653</v>
      </c>
      <c r="D6" s="95">
        <f t="shared" ref="D6:D16" si="0">C6/B6</f>
        <v>10.764125139755961</v>
      </c>
      <c r="E6" s="94"/>
      <c r="F6" s="94"/>
      <c r="G6" s="92"/>
    </row>
    <row r="7" spans="1:7" ht="15.75" x14ac:dyDescent="0.25">
      <c r="A7" s="94" t="s">
        <v>246</v>
      </c>
      <c r="B7" s="95">
        <f>MATable1!B9*MATable1!B21*MATable1!$B$31+MATable1!C9*MATable1!C21*MATable1!$C$31+MATable1!D9*MATable1!D21*MATable1!$D$31+MATable1!B10*MATable1!B22*MATable1!$B$31+MATable1!C10*MATable1!C22*MATable1!$C$31+MATable1!D10*MATable1!D22*MATable1!$D$31</f>
        <v>4.9761457233936355</v>
      </c>
      <c r="C7" s="95">
        <f>Components!F10</f>
        <v>5.5450675059728276</v>
      </c>
      <c r="D7" s="95">
        <f t="shared" si="0"/>
        <v>1.1143298074862644</v>
      </c>
      <c r="E7" s="94"/>
      <c r="F7" s="94"/>
      <c r="G7" s="92"/>
    </row>
    <row r="8" spans="1:7" ht="15.75" x14ac:dyDescent="0.25">
      <c r="A8" s="94" t="str">
        <f>MATable1!A11</f>
        <v>HI subsidies for persons w/o ESI at work</v>
      </c>
      <c r="B8" s="95">
        <f>MATable1!B11*MATable1!B23*MATable1!$B$31+MATable1!C11*MATable1!C23*MATable1!$C$31+MATable1!D11*MATable1!D23*MATable1!$D$31</f>
        <v>11.127482662723052</v>
      </c>
      <c r="C8" s="95">
        <f>Components!F11</f>
        <v>73.630621928959442</v>
      </c>
      <c r="D8" s="95">
        <f t="shared" si="0"/>
        <v>6.6170062143184678</v>
      </c>
      <c r="E8" s="94"/>
      <c r="F8" s="94"/>
      <c r="G8" s="92"/>
    </row>
    <row r="9" spans="1:7" ht="15.75" x14ac:dyDescent="0.25">
      <c r="A9" s="94" t="s">
        <v>311</v>
      </c>
      <c r="B9" s="95">
        <v>0</v>
      </c>
      <c r="C9" s="95">
        <f>Components!F12</f>
        <v>6.8823233108592508</v>
      </c>
      <c r="D9" s="115" t="s">
        <v>339</v>
      </c>
      <c r="E9" s="94"/>
      <c r="F9" s="94"/>
      <c r="G9" s="92"/>
    </row>
    <row r="10" spans="1:7" ht="15.75" x14ac:dyDescent="0.25">
      <c r="A10" s="94" t="str">
        <f>MATable1!A12</f>
        <v>HI subsidies for persons w/ ESI at work</v>
      </c>
      <c r="B10" s="95">
        <f>MATable1!B12*MATable1!B24*MATable1!$B$31+MATable1!C12*MATable1!C24*MATable1!$C$31+MATable1!D12*MATable1!D24*MATable1!$D$31</f>
        <v>1.7686949039214106</v>
      </c>
      <c r="C10" s="95">
        <f>Components!F13</f>
        <v>81.119966770854475</v>
      </c>
      <c r="D10" s="95">
        <f t="shared" si="0"/>
        <v>45.86430740033326</v>
      </c>
      <c r="E10" s="94"/>
      <c r="F10" s="94"/>
      <c r="G10" s="92"/>
    </row>
    <row r="11" spans="1:7" ht="15.75" x14ac:dyDescent="0.25">
      <c r="A11" s="94" t="s">
        <v>325</v>
      </c>
      <c r="B11" s="115" t="s">
        <v>61</v>
      </c>
      <c r="C11" s="95">
        <f>Components!F14</f>
        <v>-7.0900650312541202</v>
      </c>
      <c r="D11" s="115" t="s">
        <v>61</v>
      </c>
      <c r="E11" s="94"/>
      <c r="F11" s="94"/>
      <c r="G11" s="92"/>
    </row>
    <row r="12" spans="1:7" ht="15.75" x14ac:dyDescent="0.25">
      <c r="A12" s="113" t="s">
        <v>340</v>
      </c>
      <c r="B12" s="95">
        <f>MATable1!B13*MATable1!B25*MATable1!$B$31+MATable1!C13*MATable1!C25*MATable1!$C$31+MATable1!D13*MATable1!D25*MATable1!$D$31</f>
        <v>3.7150593927765234</v>
      </c>
      <c r="C12" s="95">
        <f>Components!F15</f>
        <v>13.876650320856562</v>
      </c>
      <c r="D12" s="95">
        <f t="shared" si="0"/>
        <v>3.7352431963370503</v>
      </c>
      <c r="E12" s="94"/>
      <c r="F12" s="94"/>
      <c r="G12" s="92"/>
    </row>
    <row r="13" spans="1:7" ht="15.75" x14ac:dyDescent="0.25">
      <c r="A13" s="94" t="str">
        <f>MATable1!A14</f>
        <v>Implicit taxation of unemployment benefits</v>
      </c>
      <c r="B13" s="95">
        <f>MATable1!B14*MATable1!B26*MATable1!$B$31+MATable1!C14*MATable1!C26*MATable1!$C$31+MATable1!D14*MATable1!D26*MATable1!$D$31</f>
        <v>-1.5441156708952519</v>
      </c>
      <c r="C13" s="95">
        <f>Components!F16</f>
        <v>-9.6488019054425962</v>
      </c>
      <c r="D13" s="95">
        <f t="shared" si="0"/>
        <v>6.2487558978326962</v>
      </c>
      <c r="E13" s="94"/>
      <c r="F13" s="94"/>
      <c r="G13" s="92"/>
    </row>
    <row r="14" spans="1:7" ht="15.75" x14ac:dyDescent="0.25">
      <c r="A14" s="43" t="str">
        <f>MATable1!A15</f>
        <v>Move off implicit uncompensated care tax</v>
      </c>
      <c r="B14" s="57">
        <f>MATable1!B15*MATable1!B27*MATable1!$B$31+MATable1!C15*MATable1!C27*MATable1!$C$31+MATable1!D15*MATable1!D27*MATable1!$D$31</f>
        <v>-7.9112655970870485</v>
      </c>
      <c r="C14" s="57">
        <f>Components!F17</f>
        <v>-6.4507645283659851</v>
      </c>
      <c r="D14" s="57">
        <f t="shared" si="0"/>
        <v>0.81538970588235282</v>
      </c>
      <c r="E14" s="94"/>
      <c r="F14" s="94"/>
      <c r="G14" s="92"/>
    </row>
    <row r="15" spans="1:7" ht="15.75" x14ac:dyDescent="0.25">
      <c r="A15" s="94" t="s">
        <v>273</v>
      </c>
      <c r="B15" s="95">
        <f>SUM(B6:B14)</f>
        <v>16.45237415167631</v>
      </c>
      <c r="C15" s="95">
        <f>SUM(C6:C14)</f>
        <v>204.37003116221848</v>
      </c>
      <c r="D15" s="95">
        <f t="shared" si="0"/>
        <v>12.421917303734276</v>
      </c>
      <c r="E15" s="94"/>
      <c r="F15" s="94"/>
      <c r="G15" s="92"/>
    </row>
    <row r="16" spans="1:7" ht="15.75" x14ac:dyDescent="0.25">
      <c r="A16" s="94" t="s">
        <v>260</v>
      </c>
      <c r="B16" s="96">
        <f>B15*Parameters!$B$9/(Parameters!$B$10*Parameters!$B$26*MAparameters!$B$22)</f>
        <v>3.3680410863082266E-3</v>
      </c>
      <c r="C16" s="96">
        <f>C15*Parameters!$B$9/(Parameters!$B$10*Parameters!$B$26)</f>
        <v>4.8367084219306543E-2</v>
      </c>
      <c r="D16" s="95">
        <f t="shared" si="0"/>
        <v>14.360598038999166</v>
      </c>
      <c r="E16" s="94"/>
      <c r="F16" s="94"/>
      <c r="G16" s="92"/>
    </row>
    <row r="17" spans="1:7" ht="15.75" x14ac:dyDescent="0.25">
      <c r="A17" s="94"/>
      <c r="B17" s="94"/>
      <c r="C17" s="94"/>
      <c r="D17" s="94"/>
      <c r="E17" s="94"/>
      <c r="F17" s="94"/>
      <c r="G17" s="92"/>
    </row>
    <row r="18" spans="1:7" ht="15.75" x14ac:dyDescent="0.25">
      <c r="A18" s="94"/>
      <c r="B18" s="94"/>
      <c r="C18" s="94"/>
      <c r="D18" s="94"/>
      <c r="E18" s="94"/>
      <c r="F18" s="94"/>
      <c r="G18" s="92"/>
    </row>
    <row r="19" spans="1:7" ht="15.75" x14ac:dyDescent="0.25">
      <c r="A19" s="94"/>
      <c r="B19" s="94"/>
      <c r="C19" s="94"/>
      <c r="D19" s="94"/>
      <c r="E19" s="94"/>
      <c r="F19" s="94"/>
      <c r="G19" s="92"/>
    </row>
    <row r="20" spans="1:7" ht="15.75" x14ac:dyDescent="0.25">
      <c r="A20" s="94"/>
      <c r="B20" s="94"/>
      <c r="C20" s="94"/>
      <c r="D20" s="94"/>
      <c r="E20" s="94"/>
      <c r="F20" s="94"/>
      <c r="G20" s="92"/>
    </row>
    <row r="21" spans="1:7" ht="15.75" x14ac:dyDescent="0.25">
      <c r="A21" s="94"/>
      <c r="B21" s="94"/>
      <c r="C21" s="94"/>
      <c r="D21" s="94"/>
      <c r="E21" s="94"/>
      <c r="F21" s="94"/>
      <c r="G21" s="92"/>
    </row>
    <row r="22" spans="1:7" ht="15.75" hidden="1" x14ac:dyDescent="0.25">
      <c r="A22" s="43" t="str">
        <f>MATable1!A24</f>
        <v>HI subsidies for persons w/ ESI at work</v>
      </c>
      <c r="B22" s="94"/>
      <c r="C22" s="94"/>
      <c r="D22" s="94"/>
      <c r="E22" s="44" t="s">
        <v>356</v>
      </c>
      <c r="F22" s="44" t="s">
        <v>355</v>
      </c>
      <c r="G22" s="92"/>
    </row>
    <row r="23" spans="1:7" ht="15.75" hidden="1" x14ac:dyDescent="0.25">
      <c r="A23" s="113" t="s">
        <v>352</v>
      </c>
      <c r="B23" s="94"/>
      <c r="C23" s="94"/>
      <c r="D23" s="98">
        <f>1/0.75</f>
        <v>1.3333333333333333</v>
      </c>
      <c r="E23" s="94"/>
      <c r="F23" s="94"/>
      <c r="G23" s="92"/>
    </row>
    <row r="24" spans="1:7" ht="15.75" hidden="1" x14ac:dyDescent="0.25">
      <c r="A24" t="s">
        <v>354</v>
      </c>
      <c r="D24" s="98">
        <f>1/(1-Parameters!$B$7-Parameters!$B$8)</f>
        <v>1.3449899125756557</v>
      </c>
      <c r="E24" s="98">
        <f>D24*D23</f>
        <v>1.7933198834342075</v>
      </c>
      <c r="F24" s="98">
        <f>Table1!C12/MATable1!C12</f>
        <v>1.934658901379591</v>
      </c>
      <c r="G24" s="113" t="s">
        <v>357</v>
      </c>
    </row>
    <row r="25" spans="1:7" ht="15.75" hidden="1" x14ac:dyDescent="0.25">
      <c r="A25" s="113" t="s">
        <v>351</v>
      </c>
      <c r="B25" s="94"/>
      <c r="C25" s="94"/>
      <c r="D25" s="98">
        <f>1/(1-MATable1!$B$31)</f>
        <v>2.3955268198828108</v>
      </c>
      <c r="E25" s="98">
        <f>D25*D26*D27</f>
        <v>26.748170915573812</v>
      </c>
    </row>
    <row r="26" spans="1:7" ht="15.75" hidden="1" x14ac:dyDescent="0.25">
      <c r="A26" t="s">
        <v>353</v>
      </c>
      <c r="D26" s="98">
        <f>Parameters!$B$36/MAparameters!$B$21</f>
        <v>2.5925765965495633</v>
      </c>
      <c r="E26" s="98">
        <f>D26*D27</f>
        <v>11.165882466255306</v>
      </c>
      <c r="F26" s="98">
        <f>Table1!$C$25/MATable1!$C$24</f>
        <v>9.5161747939551802</v>
      </c>
      <c r="G26" t="s">
        <v>359</v>
      </c>
    </row>
    <row r="27" spans="1:7" ht="15.75" hidden="1" x14ac:dyDescent="0.25">
      <c r="A27" t="s">
        <v>360</v>
      </c>
      <c r="D27" s="98">
        <f>0.4014/0.0932</f>
        <v>4.306866952789699</v>
      </c>
    </row>
    <row r="28" spans="1:7" hidden="1" x14ac:dyDescent="0.25">
      <c r="A28" s="19" t="s">
        <v>361</v>
      </c>
    </row>
    <row r="29" spans="1:7" ht="15.75" hidden="1" x14ac:dyDescent="0.25">
      <c r="A29" s="19" t="s">
        <v>362</v>
      </c>
      <c r="D29" s="98"/>
    </row>
    <row r="30" spans="1:7" ht="15.75" hidden="1" x14ac:dyDescent="0.25">
      <c r="A30" s="19" t="s">
        <v>363</v>
      </c>
      <c r="D30" s="95">
        <f>D25*D23*D26*D27*D24</f>
        <v>47.968026748395083</v>
      </c>
      <c r="F30" s="8">
        <f>D10</f>
        <v>45.86430740033326</v>
      </c>
      <c r="G30" t="s">
        <v>358</v>
      </c>
    </row>
  </sheetData>
  <pageMargins left="0.75" right="0.75" top="1" bottom="1" header="0.5" footer="0.5"/>
  <pageSetup orientation="landscape" horizontalDpi="4294967292" verticalDpi="4294967292"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zoomScaleNormal="100" zoomScalePageLayoutView="125" workbookViewId="0"/>
  </sheetViews>
  <sheetFormatPr defaultColWidth="11.42578125" defaultRowHeight="15" x14ac:dyDescent="0.25"/>
  <sheetData>
    <row r="1" spans="1:3" x14ac:dyDescent="0.25">
      <c r="A1" s="1" t="s">
        <v>386</v>
      </c>
    </row>
    <row r="3" spans="1:3" x14ac:dyDescent="0.25">
      <c r="A3" s="15" t="s">
        <v>22</v>
      </c>
      <c r="B3" s="2"/>
      <c r="C3" s="2" t="s">
        <v>290</v>
      </c>
    </row>
    <row r="4" spans="1:3" x14ac:dyDescent="0.25">
      <c r="A4" s="103">
        <f>A5*Parameters!$B$25*Parameters!$B$10/Parameters!$B$9</f>
        <v>913.51133266490899</v>
      </c>
      <c r="C4" s="102" t="str">
        <f>"$914 (2014 dollars) per week plus fringes, which is what the Massachusetts median nonelderly household head or spouse earned in 2007 during a week that they were working."</f>
        <v>$914 (2014 dollars) per week plus fringes, which is what the Massachusetts median nonelderly household head or spouse earned in 2007 during a week that they were working.</v>
      </c>
    </row>
    <row r="5" spans="1:3" x14ac:dyDescent="0.25">
      <c r="A5" s="6">
        <f>MAparameters!$B$22</f>
        <v>1.1560693641618498</v>
      </c>
      <c r="C5" s="102" t="str">
        <f>"The $914 for Massachusetts is a factor of 1.16 greater than the hypothetical weekly earnings used … for national analysis"</f>
        <v>The $914 for Massachusetts is a factor of 1.16 greater than the hypothetical weekly earnings used … for national analysis</v>
      </c>
    </row>
    <row r="6" spans="1:3" x14ac:dyDescent="0.25">
      <c r="A6" s="103">
        <f>50*295</f>
        <v>14750</v>
      </c>
      <c r="C6" t="str">
        <f>"Focusing on the 50-employee threshold, the marginal hiring cost of the 50th employee would be $14,750 for the 50th employee and the marginal hiring cost zero for the first 49 employees."</f>
        <v>Focusing on the 50-employee threshold, the marginal hiring cost of the 50th employee would be $14,750 for the 50th employee and the marginal hiring cost zero for the first 49 employees.</v>
      </c>
    </row>
    <row r="7" spans="1:3" x14ac:dyDescent="0.25">
      <c r="A7" s="8">
        <f>295*Parameters!$B$10/(12*1.0765*Parameters!$B$9)</f>
        <v>24.83791783894981</v>
      </c>
      <c r="C7" t="str">
        <f>"$25 per month is 295*(2014 price index)/[12*(2010 price index)*(1.0765)]."</f>
        <v>$25 per month is 295*(2014 price index)/[12*(2010 price index)*(1.0765)].</v>
      </c>
    </row>
    <row r="8" spans="1:3" x14ac:dyDescent="0.25">
      <c r="A8" s="27">
        <f>MAparameters!$B$7</f>
        <v>9.4999999999999973E-2</v>
      </c>
      <c r="C8" t="str">
        <f>"MEPS New England propensity (9.5%) to the MEPS nationwide propensity (12.6%)"</f>
        <v>MEPS New England propensity (9.5%) to the MEPS nationwide propensity (12.6%)</v>
      </c>
    </row>
    <row r="9" spans="1:3" x14ac:dyDescent="0.25">
      <c r="A9" s="27">
        <f>MAparameters!$B$6</f>
        <v>0.126</v>
      </c>
    </row>
    <row r="10" spans="1:3" x14ac:dyDescent="0.25">
      <c r="A10" s="103">
        <f>A4*52/12</f>
        <v>3958.5491082146054</v>
      </c>
      <c r="C10" t="str">
        <f>"The $147 average work disincentive shown in the Table 1's second row is the product of the average marginal tax rate of 3.7 percent and the $3,959 monthly earnings"</f>
        <v>The $147 average work disincentive shown in the Table 1's second row is the product of the average marginal tax rate of 3.7 percent and the $3,959 monthly earnings</v>
      </c>
    </row>
    <row r="11" spans="1:3" x14ac:dyDescent="0.25">
      <c r="A11" s="8">
        <f>A10*MAparameters!$B$24</f>
        <v>146.66780715354852</v>
      </c>
    </row>
    <row r="12" spans="1:3" x14ac:dyDescent="0.25">
      <c r="A12" t="s">
        <v>192</v>
      </c>
      <c r="C12" t="str">
        <f>"CPS data suggest that, in 2006 (before Romneycare), the uninsurance rate among non-elderly working household heads and spouses was less in MA than in the New England region generally, which was less than the nationwide rate"</f>
        <v>CPS data suggest that, in 2006 (before Romneycare), the uninsurance rate among non-elderly working household heads and spouses was less in MA than in the New England region generally, which was less than the nationwide rate</v>
      </c>
    </row>
    <row r="13" spans="1:3" x14ac:dyDescent="0.25">
      <c r="A13" s="8">
        <f>MATable1!$B$10</f>
        <v>94.874886603283912</v>
      </c>
      <c r="C13" t="str">
        <f>"The $95 average value of the hardship exemption shown in Table 1 is the population-weighted average of the two 300%+ FPL penalties shown in Figure 1, converted to monthly 2014 dollars."</f>
        <v>The $95 average value of the hardship exemption shown in Table 1 is the population-weighted average of the two 300%+ FPL penalties shown in Figure 1, converted to monthly 2014 dollars.</v>
      </c>
    </row>
    <row r="14" spans="1:3" x14ac:dyDescent="0.25">
      <c r="A14" s="8" t="s">
        <v>387</v>
      </c>
      <c r="C14" t="str">
        <f>"I take CommCare spending per participant of $4,954"</f>
        <v>I take CommCare spending per participant of $4,954</v>
      </c>
    </row>
    <row r="15" spans="1:3" x14ac:dyDescent="0.25">
      <c r="A15" s="32">
        <f>1-0.18-0.0765</f>
        <v>0.74350000000000005</v>
      </c>
      <c r="C15" t="str">
        <f>"I assume that premiums paid through cafeteria plans avoid personal income taxes at an 18 percent marginal rate and employee payroll taxes at a 7.65 percent marginal rate, which makes the tax factor equal to 0.7435"</f>
        <v>I assume that premiums paid through cafeteria plans avoid personal income taxes at an 18 percent marginal rate and employee payroll taxes at a 7.65 percent marginal rate, which makes the tax factor equal to 0.7435</v>
      </c>
    </row>
    <row r="16" spans="1:3" x14ac:dyDescent="0.25">
      <c r="A16" s="8">
        <f>MAparameters!$B$44/(1-MAparameters!$B$37)</f>
        <v>4198.0261841939755</v>
      </c>
      <c r="C16" t="str">
        <f>"Among Massachusetts heads and spouses aged 27-64 with ESI and household income between 150 and 300% FPL, the average vertical distance is $4,198 in 2014 dollars."</f>
        <v>Among Massachusetts heads and spouses aged 27-64 with ESI and household income between 150 and 300% FPL, the average vertical distance is $4,198 in 2014 dollars.</v>
      </c>
    </row>
    <row r="17" spans="1:3" x14ac:dyDescent="0.25">
      <c r="A17" s="8">
        <f>MATable1!C12</f>
        <v>262.37663651212347</v>
      </c>
      <c r="C17" t="str">
        <f>"$262 per month (2014 dollars) is therefore entered in the middle column of Table 1's ÒHI subsidies for persons w/ ESI at workÓ"</f>
        <v>$262 per month (2014 dollars) is therefore entered in the middle column of Table 1's ÒHI subsidies for persons w/ ESI at workÓ</v>
      </c>
    </row>
    <row r="18" spans="1:3" x14ac:dyDescent="0.25">
      <c r="A18" s="8">
        <f>MATable1!D12</f>
        <v>300.9730298906847</v>
      </c>
      <c r="C18" t="str">
        <f>"The result is a benefit amount of $301."</f>
        <v>The result is a benefit amount of $301.</v>
      </c>
    </row>
    <row r="19" spans="1:3" x14ac:dyDescent="0.25">
      <c r="A19" s="33">
        <f>MAparameters!$C$19</f>
        <v>9.3200000000000005E-2</v>
      </c>
      <c r="C19" t="str">
        <f>"only 9 percent of Massachusetts median earners both have ESI and are living in a family between 150 and 300% FPL."</f>
        <v>only 9 percent of Massachusetts median earners both have ESI and are living in a family between 150 and 300% FPL.</v>
      </c>
    </row>
    <row r="20" spans="1:3" x14ac:dyDescent="0.25">
      <c r="A20" s="33">
        <f>MAparameters!$B$21</f>
        <v>0.18514399946324736</v>
      </c>
      <c r="C20" t="str">
        <f>"I discount this percentage with a factor of 0.19 to reflect the propensity of Massachusetts non-elderly adults in the eligible income range to use CommCare when they are not employed."</f>
        <v>I discount this percentage with a factor of 0.19 to reflect the propensity of Massachusetts non-elderly adults in the eligible income range to use CommCare when they are not employed.</v>
      </c>
    </row>
    <row r="21" spans="1:3" x14ac:dyDescent="0.25">
      <c r="A21" s="33">
        <f>(924-468)*10*MAparameters!$B$38</f>
        <v>0.27939681401280081</v>
      </c>
      <c r="B21" t="s">
        <v>387</v>
      </c>
      <c r="C21" t="str">
        <f>"a person who earns 195 percent of FPL when working less and 205 percent of FPL when working more would face a CommCare marginal tax rate of about 28 percent."</f>
        <v>a person who earns 195 percent of FPL when working less and 205 percent of FPL when working more would face a CommCare marginal tax rate of about 28 percent.</v>
      </c>
    </row>
    <row r="22" spans="1:3" x14ac:dyDescent="0.25">
      <c r="A22" s="33">
        <f>MAparameters!$B$40</f>
        <v>0.10106109731086571</v>
      </c>
      <c r="C22" t="str">
        <f>"When multiplied by the same 0.75 participant-valuation factor, that average is about 10 percent of earnings, which is the $400 per month"</f>
        <v>When multiplied by the same 0.75 participant-valuation factor, that average is about 10 percent of earnings, which is the $400 per month</v>
      </c>
    </row>
    <row r="23" spans="1:3" x14ac:dyDescent="0.25">
      <c r="A23" s="8">
        <f>A22*Parameters!$B$25*MAparameters!$B$22*Parameters!$B$10*52/(Parameters!$B$9*12)</f>
        <v>400.05531663511698</v>
      </c>
    </row>
    <row r="24" spans="1:3" x14ac:dyDescent="0.25">
      <c r="A24" s="103">
        <f>(MAparameters!$B$30+MAparameters!$B$29)*MAparameters!$B$34</f>
        <v>53572.213333333333</v>
      </c>
      <c r="C24" t="str">
        <f>"CommCare had only about 54,000 participants (some of them not working) who were above 150% FPL"</f>
        <v>CommCare had only about 54,000 participants (some of them not working) who were above 150% FPL</v>
      </c>
    </row>
    <row r="25" spans="1:3" x14ac:dyDescent="0.25">
      <c r="A25" s="103">
        <v>2489492</v>
      </c>
      <c r="B25" t="s">
        <v>192</v>
      </c>
      <c r="C25" t="str">
        <f>"more than 2.3 million other non-elderly working heads and spouses in Massachusetts do not receive CommCare"</f>
        <v>more than 2.3 million other non-elderly working heads and spouses in Massachusetts do not receive CommCare</v>
      </c>
    </row>
    <row r="26" spans="1:3" x14ac:dyDescent="0.25">
      <c r="A26" s="103">
        <f>A25-MAparameters!B34</f>
        <v>2331926.6666666665</v>
      </c>
    </row>
    <row r="27" spans="1:3" x14ac:dyDescent="0.25">
      <c r="A27" s="6">
        <f>MATable1!$B$23</f>
        <v>2.7814860095640763E-2</v>
      </c>
      <c r="C27" t="str">
        <f>"The resulting weight is 0.03"</f>
        <v>The resulting weight is 0.03</v>
      </c>
    </row>
    <row r="28" spans="1:3" x14ac:dyDescent="0.25">
      <c r="A28" s="33">
        <f>MAparameters!$B$22*Parameters!$B$25*52*MAparameters!$B$38*Parameters!$B$10/Parameters!$B$9</f>
        <v>2.9105421288115125</v>
      </c>
      <c r="C28" t="str">
        <f>"those earnings are about 270 percent of FPL"</f>
        <v>those earnings are about 270 percent of FPL</v>
      </c>
    </row>
    <row r="29" spans="1:3" x14ac:dyDescent="0.25">
      <c r="A29" s="6">
        <f>MAparameters!$B$46</f>
        <v>0.4679369598308652</v>
      </c>
      <c r="C29" t="str">
        <f>"a program participation weight of 0.47"</f>
        <v>a program participation weight of 0.47</v>
      </c>
    </row>
    <row r="30" spans="1:3" x14ac:dyDescent="0.25">
      <c r="A30" s="8">
        <f>MAparameters!$B$45</f>
        <v>357.99499046158456</v>
      </c>
      <c r="C30" t="str">
        <f>"a constant benefit index of $358 per month (FY 2010 dollars)"</f>
        <v>a constant benefit index of $358 per month (FY 2010 dollars)</v>
      </c>
    </row>
    <row r="31" spans="1:3" x14ac:dyDescent="0.25">
      <c r="A31" s="6">
        <f>MAparameters!$B$51</f>
        <v>0.47705710211102043</v>
      </c>
      <c r="C31" t="str">
        <f>"I rescale the nationwide participation weight of 0.47 to be 0.48 for the purposes of examining Massachusetts"</f>
        <v>I rescale the nationwide participation weight of 0.47 to be 0.48 for the purposes of examining Massachusetts</v>
      </c>
    </row>
    <row r="32" spans="1:3" x14ac:dyDescent="0.25">
      <c r="A32" s="8" t="s">
        <v>388</v>
      </c>
      <c r="C32" t="str">
        <f>"show increases of -7,661; 10,747; 4,667; and 25,315 for the years 2007-2010, respectively"</f>
        <v>show increases of -7,661; 10,747; 4,667; and 25,315 for the years 2007-2010, respectively</v>
      </c>
    </row>
    <row r="33" spans="1:3" x14ac:dyDescent="0.25">
      <c r="A33" s="103">
        <f>Parameters!$B$37*MAparameters!$B$22*Parameters!$B$10/Parameters!$B$9</f>
        <v>1462.465617691744</v>
      </c>
      <c r="C33" t="str">
        <f>"$1,462 per month in UI benefits - about the average among UI-eligible persons with earnings potential near the Massachusetts median"</f>
        <v>$1,462 per month in UI benefits - about the average among UI-eligible persons with earnings potential near the Massachusetts median</v>
      </c>
    </row>
    <row r="34" spans="1:3" x14ac:dyDescent="0.25">
      <c r="A34" s="103">
        <f>MATable1!$B$14</f>
        <v>-154.59972148862713</v>
      </c>
      <c r="C34" t="str">
        <f>"that's an extra $155 per month in taxes"</f>
        <v>that's an extra $155 per month in taxes</v>
      </c>
    </row>
    <row r="35" spans="1:3" x14ac:dyDescent="0.25">
      <c r="A35" s="103">
        <f>A10*Parameters!$B$48</f>
        <v>232.68428226726604</v>
      </c>
      <c r="C35" t="str">
        <f>"when spending a month prior to Romneycare without his $3,959 earnings, an uninsured person could expect to save an average of $233 in medical expenditures by increasing his uncompensated care"</f>
        <v>when spending a month prior to Romneycare without his $3,959 earnings, an uninsured person could expect to save an average of $233 in medical expenditures by increasing his uncompensated care</v>
      </c>
    </row>
    <row r="36" spans="1:3" x14ac:dyDescent="0.25">
      <c r="A36" s="103">
        <f>MATable1!B30</f>
        <v>14.374191692529511</v>
      </c>
      <c r="C36" t="str">
        <f>"The combined effect of Romneycare is to add about $14 per month in the assistance that people with median earnings potential get when they spend time not unemployed, and about $19 per month when they  reduce labor supply on one of the other two margins."</f>
        <v>The combined effect of Romneycare is to add about $14 per month in the assistance that people with median earnings potential get when they spend time not unemployed, and about $19 per month when they  reduce labor supply on one of the other two margins.</v>
      </c>
    </row>
    <row r="37" spans="1:3" x14ac:dyDescent="0.25">
      <c r="A37" s="103">
        <f>AVERAGE(MATable1!C30,MATable1!D30)</f>
        <v>19.458367257326444</v>
      </c>
    </row>
    <row r="38" spans="1:3" x14ac:dyDescent="0.25">
      <c r="A38" s="8">
        <f>MATable1!$C$32</f>
        <v>16.45237415167631</v>
      </c>
      <c r="C38" t="str">
        <f>"Romneycare adds $16 per month to the overall statutory index."</f>
        <v>Romneycare adds $16 per month to the overall statutory index.</v>
      </c>
    </row>
    <row r="39" spans="1:3" x14ac:dyDescent="0.25">
      <c r="A39" s="86">
        <f>A38*Parameters!$B$9/(MAparameters!$B$22*Parameters!$B$26*Parameters!$B$10)</f>
        <v>3.3680410863082266E-3</v>
      </c>
      <c r="C39" t="str">
        <f>"$16 per month is 0.3 percent of the total full-time compensation of a Massachusetts head or spouse of roughly median earnings potential."</f>
        <v>$16 per month is 0.3 percent of the total full-time compensation of a Massachusetts head or spouse of roughly median earnings potential.</v>
      </c>
    </row>
    <row r="40" spans="1:3" x14ac:dyDescent="0.25">
      <c r="A40" s="8">
        <f>MATable1!$B$8</f>
        <v>24.764803981042615</v>
      </c>
      <c r="C40" t="str">
        <f>"its magnitude is only $25 per month."</f>
        <v>its magnitude is only $25 per month.</v>
      </c>
    </row>
    <row r="41" spans="1:3" x14ac:dyDescent="0.25">
      <c r="A41" s="7">
        <f>Sensitivity!$D$6</f>
        <v>4.8367084219306538</v>
      </c>
      <c r="C41" t="str">
        <f>"The ACA adds about 4.8 percentage points to marginal tax rates: about thirteen times Romneycare's addition."</f>
        <v>The ACA adds about 4.8 percentage points to marginal tax rates: about thirteen times Romneycare's addition.</v>
      </c>
    </row>
    <row r="42" spans="1:3" x14ac:dyDescent="0.25">
      <c r="A42" s="8">
        <f>ACAvsMA!D15</f>
        <v>12.421917303734276</v>
      </c>
      <c r="C42" t="str">
        <f>"Overall, the ACA employer penalty is 11 times more important."</f>
        <v>Overall, the ACA employer penalty is 11 times more important.</v>
      </c>
    </row>
    <row r="43" spans="1:3" x14ac:dyDescent="0.25">
      <c r="A43" s="8">
        <f>A42</f>
        <v>12.421917303734276</v>
      </c>
      <c r="C43" t="str">
        <f>"the ACA will add 11 times more dollars to work disincentives than Romneycare did."</f>
        <v>the ACA will add 11 times more dollars to work disincentives than Romneycare did.</v>
      </c>
    </row>
    <row r="44" spans="1:3" x14ac:dyDescent="0.25">
      <c r="A44" s="8">
        <f>MIN(ACAvsMA!$B$7:$C$7)</f>
        <v>4.9761457233936355</v>
      </c>
      <c r="C44" t="str">
        <f>"both Romneycare and the ACA create five or six dollars per month of work disincentive"</f>
        <v>both Romneycare and the ACA create five or six dollars per month of work disincentive</v>
      </c>
    </row>
    <row r="45" spans="1:3" x14ac:dyDescent="0.25">
      <c r="A45" s="8">
        <f>MAX(ACAvsMA!$B$7:$C$7)</f>
        <v>5.5450675059728276</v>
      </c>
    </row>
    <row r="46" spans="1:3" x14ac:dyDescent="0.25">
      <c r="A46" s="8">
        <f>ACAvsMA!$B$12</f>
        <v>3.7150593927765234</v>
      </c>
      <c r="C46" t="str">
        <f>"even Romneycare's contribution in this regard averages only four dollars per month"</f>
        <v>even Romneycare's contribution in this regard averages only four dollars per month</v>
      </c>
    </row>
    <row r="47" spans="1:3" x14ac:dyDescent="0.25">
      <c r="A47" s="8">
        <f>MATable1!$D$30</f>
        <v>19.273737825181161</v>
      </c>
      <c r="C47" t="str">
        <f>"As shown by the $19 entry in Table 1 and the $207 entry in Table 2"</f>
        <v>As shown by the $19 entry in Table 1 and the $207 entry in Table 2</v>
      </c>
    </row>
    <row r="48" spans="1:3" x14ac:dyDescent="0.25">
      <c r="A48" s="8">
        <f>Table1!$D$31</f>
        <v>206.91976730947442</v>
      </c>
    </row>
    <row r="49" spans="1:1" x14ac:dyDescent="0.25">
      <c r="A49" s="8"/>
    </row>
    <row r="50" spans="1:1" x14ac:dyDescent="0.25">
      <c r="A50" s="6"/>
    </row>
    <row r="51" spans="1:1" x14ac:dyDescent="0.25">
      <c r="A51" s="8"/>
    </row>
    <row r="52" spans="1:1" x14ac:dyDescent="0.25">
      <c r="A52" s="8"/>
    </row>
    <row r="53" spans="1:1" x14ac:dyDescent="0.25">
      <c r="A53" s="8"/>
    </row>
    <row r="54" spans="1:1" x14ac:dyDescent="0.25">
      <c r="A54" s="74"/>
    </row>
    <row r="55" spans="1:1" x14ac:dyDescent="0.25">
      <c r="A55" s="7"/>
    </row>
    <row r="56" spans="1:1" x14ac:dyDescent="0.25">
      <c r="A56" s="7"/>
    </row>
    <row r="57" spans="1:1" x14ac:dyDescent="0.25">
      <c r="A57" s="6"/>
    </row>
    <row r="59" spans="1:1" x14ac:dyDescent="0.25">
      <c r="A59" s="6"/>
    </row>
    <row r="60" spans="1:1" x14ac:dyDescent="0.25">
      <c r="A60" s="8"/>
    </row>
    <row r="61" spans="1:1" x14ac:dyDescent="0.25">
      <c r="A61" s="8"/>
    </row>
    <row r="62" spans="1:1" x14ac:dyDescent="0.25">
      <c r="A62" s="8"/>
    </row>
    <row r="64" spans="1:1" x14ac:dyDescent="0.25">
      <c r="A64" s="6"/>
    </row>
    <row r="65" spans="1:1" x14ac:dyDescent="0.25">
      <c r="A65" s="6"/>
    </row>
    <row r="66" spans="1:1" x14ac:dyDescent="0.25">
      <c r="A66" s="7"/>
    </row>
    <row r="67" spans="1:1" x14ac:dyDescent="0.25">
      <c r="A67" s="7"/>
    </row>
    <row r="68" spans="1:1" x14ac:dyDescent="0.25">
      <c r="A68" s="6"/>
    </row>
    <row r="69" spans="1:1" x14ac:dyDescent="0.25">
      <c r="A69" s="103"/>
    </row>
    <row r="70" spans="1:1" x14ac:dyDescent="0.25">
      <c r="A70" s="103"/>
    </row>
    <row r="71" spans="1:1" x14ac:dyDescent="0.25">
      <c r="A71" s="103"/>
    </row>
    <row r="72" spans="1:1" x14ac:dyDescent="0.25">
      <c r="A72" s="103"/>
    </row>
    <row r="73" spans="1:1" x14ac:dyDescent="0.25">
      <c r="A73" s="103"/>
    </row>
    <row r="74" spans="1:1" x14ac:dyDescent="0.25">
      <c r="A74" s="103"/>
    </row>
    <row r="75" spans="1:1" x14ac:dyDescent="0.25">
      <c r="A75" s="103"/>
    </row>
    <row r="76" spans="1:1" x14ac:dyDescent="0.25">
      <c r="A76" s="103"/>
    </row>
    <row r="77" spans="1:1" x14ac:dyDescent="0.25">
      <c r="A77" s="103"/>
    </row>
    <row r="78" spans="1:1" x14ac:dyDescent="0.25">
      <c r="A78" s="103"/>
    </row>
    <row r="79" spans="1:1" x14ac:dyDescent="0.25">
      <c r="A79" s="6"/>
    </row>
    <row r="81" spans="1:2" x14ac:dyDescent="0.25">
      <c r="A81" s="6"/>
    </row>
    <row r="82" spans="1:2" x14ac:dyDescent="0.25">
      <c r="A82" s="6"/>
    </row>
    <row r="83" spans="1:2" x14ac:dyDescent="0.25">
      <c r="A83" s="6"/>
    </row>
    <row r="84" spans="1:2" x14ac:dyDescent="0.25">
      <c r="A84" s="6"/>
    </row>
    <row r="85" spans="1:2" x14ac:dyDescent="0.25">
      <c r="A85" s="6"/>
    </row>
    <row r="86" spans="1:2" x14ac:dyDescent="0.25">
      <c r="A86" s="6"/>
    </row>
    <row r="87" spans="1:2" x14ac:dyDescent="0.25">
      <c r="A87" s="74"/>
    </row>
    <row r="88" spans="1:2" x14ac:dyDescent="0.25">
      <c r="A88" s="74"/>
    </row>
    <row r="89" spans="1:2" x14ac:dyDescent="0.25">
      <c r="A89" s="6"/>
    </row>
    <row r="90" spans="1:2" x14ac:dyDescent="0.25">
      <c r="A90" s="6"/>
    </row>
    <row r="92" spans="1:2" x14ac:dyDescent="0.25">
      <c r="B92" s="31"/>
    </row>
  </sheetData>
  <pageMargins left="0.75" right="0.75" top="1" bottom="1"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zoomScaleNormal="100" zoomScalePageLayoutView="125" workbookViewId="0"/>
  </sheetViews>
  <sheetFormatPr defaultColWidth="11.42578125" defaultRowHeight="15" x14ac:dyDescent="0.25"/>
  <sheetData>
    <row r="1" spans="1:3" x14ac:dyDescent="0.25">
      <c r="A1" s="1" t="s">
        <v>385</v>
      </c>
    </row>
    <row r="3" spans="1:3" x14ac:dyDescent="0.25">
      <c r="A3" s="15" t="s">
        <v>22</v>
      </c>
      <c r="B3" s="2" t="s">
        <v>289</v>
      </c>
      <c r="C3" s="2" t="s">
        <v>290</v>
      </c>
    </row>
    <row r="4" spans="1:3" x14ac:dyDescent="0.25">
      <c r="A4" s="27">
        <f>Table1!$C$33*Parameters!$B$9/(Parameters!$B$26*Parameters!$B$10*WgtDetail!$L$33)</f>
        <v>0.10517375537152675</v>
      </c>
      <c r="C4" s="102" t="str">
        <f>"all provisions combined raise marginal tax rates in 2015 by "&amp;TEXT(A4*100,"0")&amp;" percentage points of total compensation,"</f>
        <v>all provisions combined raise marginal tax rates in 2015 by 11 percentage points of total compensation,</v>
      </c>
    </row>
    <row r="5" spans="1:3" x14ac:dyDescent="0.25">
      <c r="A5" s="101">
        <f>WgtDetail!$L$33</f>
        <v>0.45987788539497904</v>
      </c>
      <c r="C5" s="102" t="s">
        <v>345</v>
      </c>
    </row>
    <row r="6" spans="1:3" x14ac:dyDescent="0.25">
      <c r="A6" s="8">
        <f>ACAvsMA!$D$16</f>
        <v>14.360598038999166</v>
      </c>
      <c r="C6" t="str">
        <f>"about "&amp;TEXT(A6,"0")&amp;" times more (sic) than the 2006 ÒRomneycareÓ health reform law"</f>
        <v>about 14 times more (sic) than the 2006 ÒRomneycareÓ health reform law</v>
      </c>
    </row>
    <row r="7" spans="1:3" x14ac:dyDescent="0.25">
      <c r="A7" s="8">
        <f>Parameters!$B$25*Parameters!$B$10/Parameters!$B$9</f>
        <v>790.18730275514622</v>
      </c>
      <c r="C7" t="str">
        <f>"who earns "&amp;TEXT(A7,"$0")&amp;" (2014 dollars) per week plus fringes"</f>
        <v>who earns $790 (2014 dollars) per week plus fringes</v>
      </c>
    </row>
    <row r="8" spans="1:3" x14ac:dyDescent="0.25">
      <c r="A8" s="27">
        <f>SQRT(Parameters!B10/VLOOKUP(DATE(2012,1,1),FREDconnect!$A$8:$B$25,2))-1</f>
        <v>2.0000000000000018E-2</v>
      </c>
      <c r="C8" t="str">
        <f>"I assume average annual inflation of "&amp;TEXT(A8,"0%")&amp;" between 2012 and 2014"</f>
        <v>I assume average annual inflation of 2% between 2012 and 2014</v>
      </c>
    </row>
    <row r="9" spans="1:3" x14ac:dyDescent="0.25">
      <c r="A9" s="8">
        <f>Parameters!$B$11*(1+Parameters!$B$12)^(2015-2014)*Parameters!$B$10/Parameters!$B$9</f>
        <v>191.72535970903479</v>
      </c>
      <c r="C9" t="str">
        <f>"the monthly amount of the penalty is "&amp;TEXT(A9,"$0")&amp;" per month in 2015"</f>
        <v>the monthly amount of the penalty is $192 per month in 2015</v>
      </c>
    </row>
    <row r="10" spans="1:3" x14ac:dyDescent="0.25">
      <c r="A10" s="27">
        <f>Parameters!$B$12</f>
        <v>1.6E-2</v>
      </c>
      <c r="C10" t="str">
        <f>"the growth rate of health care costs thereafter,  which I assume to be "&amp;TEXT(A10,"0.0%")&amp;" per year in excess of wage growth"</f>
        <v>the growth rate of health care costs thereafter,  which I assume to be 1.6% per year in excess of wage growth</v>
      </c>
    </row>
    <row r="11" spans="1:3" x14ac:dyDescent="0.25">
      <c r="A11" s="8">
        <f>Parameters!$B$11*(1+Parameters!$B$12)^(2016-2014)*Parameters!$B$10/Parameters!$B$9</f>
        <v>194.79296546437936</v>
      </c>
      <c r="C11" t="str">
        <f>TEXT(A11,"$0")&amp;" for each month of 2016, etc."</f>
        <v>$195 for each month of 2016, etc.</v>
      </c>
    </row>
    <row r="12" spans="1:3" x14ac:dyDescent="0.25">
      <c r="A12" s="8">
        <f>2000*1.016*(1-0.0765-0.18)/(1.0765*(1-0.39)*12)</f>
        <v>191.72535970903482</v>
      </c>
      <c r="C12" t="s">
        <v>291</v>
      </c>
    </row>
    <row r="13" spans="1:3" x14ac:dyDescent="0.25">
      <c r="A13" s="7">
        <f>0.6*Parameters!$B$13</f>
        <v>26.079776399999997</v>
      </c>
      <c r="C13" t="str">
        <f>"I take three days to be "&amp;TEXT(A13,"0.0")&amp;" hours per week, which is 60 percent of the average weekly hours of heads and spouses of households between 100 and 400 percent of FPL, conditional on working more than 32 hours per week"</f>
        <v>I take three days to be 26.1 hours per week, which is 60 percent of the average weekly hours of heads and spouses of households between 100 and 400 percent of FPL, conditional on working more than 32 hours per week</v>
      </c>
    </row>
    <row r="14" spans="1:3" x14ac:dyDescent="0.25">
      <c r="A14" s="7">
        <f>Parameters!$B$13</f>
        <v>43.466293999999998</v>
      </c>
      <c r="C14" t="str">
        <f>"Full-time employed ... household heads and spouses work an average of "&amp;TEXT(A14,"0.0")&amp;" hours per week"</f>
        <v>Full-time employed ... household heads and spouses work an average of 43.5 hours per week</v>
      </c>
    </row>
    <row r="15" spans="1:3" x14ac:dyDescent="0.25">
      <c r="A15" s="7">
        <f>Parameters!$B14</f>
        <v>21.405196</v>
      </c>
      <c r="C15" t="str">
        <f>"Part-time employed heads and spouses average work hours are "&amp;TEXT(A15,"0.0")</f>
        <v>Part-time employed heads and spouses average work hours are 21.4</v>
      </c>
    </row>
    <row r="16" spans="1:3" x14ac:dyDescent="0.25">
      <c r="A16" s="8">
        <f>Parameters!$B$4*(1+Parameters!$B$12)/(52*(1+Parameters!$B$6)*(1-Parameters!$B$5))</f>
        <v>59.508155721597888</v>
      </c>
      <c r="C16" t="str">
        <f>"Note that the first weekly hour worked over 30 costs creates a penalty equivalent to about "&amp;TEXT(A16,"$0")&amp;" of weekly salary."</f>
        <v>Note that the first weekly hour worked over 30 costs creates a penalty equivalent to about $60 of weekly salary.</v>
      </c>
    </row>
    <row r="17" spans="1:3" x14ac:dyDescent="0.25">
      <c r="A17" s="7">
        <f>A16/($A$14-30)</f>
        <v>4.4190447439806304</v>
      </c>
      <c r="C17" t="str">
        <f>"Working "&amp;TEXT($A$14,"0.0")&amp;" hours rather than 30 therefore costs more than "&amp;TEXT(A17,"$0")&amp;" per hour"</f>
        <v>Working 43.5 hours rather than 30 therefore costs more than $4 per hour</v>
      </c>
    </row>
    <row r="18" spans="1:3" x14ac:dyDescent="0.25">
      <c r="A18" s="8">
        <f>Parameters!$B$25/Parameters!$B$13</f>
        <v>16.714330418875832</v>
      </c>
      <c r="C18" t="str">
        <f>"...a significant cost for someone with compensation of about "&amp;TEXT(A18,"$0")&amp;" per hour."</f>
        <v>...a significant cost for someone with compensation of about $17 per hour.</v>
      </c>
    </row>
    <row r="19" spans="1:3" x14ac:dyDescent="0.25">
      <c r="A19" s="6">
        <f>Parameters!$B$15</f>
        <v>0.5822063402237414</v>
      </c>
      <c r="C19" t="str">
        <f>"I therefore rescale the benefit index on the employment margins by a factor of "&amp;TEXT(A19,"0.00")&amp;"*"&amp;TEXT(A14,"0.0")&amp;"/("&amp;TEXT(A14,"0.0")&amp;"-"&amp;TEXT(A15,"0.0")&amp;") = "&amp;TEXT(A20,"0.00")&amp;" in order to obtain a benefit index on the weekly hours margin."</f>
        <v>I therefore rescale the benefit index on the employment margins by a factor of 0.58*43.5/(43.5-21.4) = 1.15 in order to obtain a benefit index on the weekly hours margin.</v>
      </c>
    </row>
    <row r="20" spans="1:3" x14ac:dyDescent="0.25">
      <c r="A20" s="6">
        <f>A19*A14/(A14-A15)</f>
        <v>1.1471030115014751</v>
      </c>
    </row>
    <row r="21" spans="1:3" x14ac:dyDescent="0.25">
      <c r="A21" s="8">
        <f>Parameters!$B$23*0.01*Parameters!$B$10/(Parameters!$B$9*12)</f>
        <v>51.257542921056327</v>
      </c>
      <c r="C21" t="str">
        <f>"Those amounts are "&amp;TEXT(A21,"$0")&amp;" in 2014, "&amp;TEXT(A22,"$0")&amp;" in 2015, and "&amp;TEXT(A23,"$0")&amp;" in 2016."</f>
        <v>Those amounts are $51 in 2014, $103 in 2015, and $128 in 2016.</v>
      </c>
    </row>
    <row r="22" spans="1:3" x14ac:dyDescent="0.25">
      <c r="A22" s="8">
        <f>Parameters!$B$23*0.02*Parameters!$B$10/(Parameters!$B$9*12)</f>
        <v>102.51508584211265</v>
      </c>
    </row>
    <row r="23" spans="1:3" x14ac:dyDescent="0.25">
      <c r="A23" s="8">
        <f>Parameters!$B$23*0.025*Parameters!$B$10/(Parameters!$B$9*12)</f>
        <v>128.14385730264084</v>
      </c>
    </row>
    <row r="24" spans="1:3" x14ac:dyDescent="0.25">
      <c r="A24" s="8">
        <f>Parameters!$B$34*(1+Parameters!$B$12)^(2015-2014)*Parameters!$B$10/Parameters!$B$9</f>
        <v>507.60929534221708</v>
      </c>
      <c r="C24" t="str">
        <f>"a month of the 2015 exchange subsidy is worth "&amp;TEXT(A24,"$0")&amp;" (2014 dollars)"</f>
        <v>a month of the 2015 exchange subsidy is worth $508 (2014 dollars)</v>
      </c>
    </row>
    <row r="25" spans="1:3" x14ac:dyDescent="0.25">
      <c r="A25" s="103">
        <f>A24*A20</f>
        <v>582.2801513531989</v>
      </c>
      <c r="C25" t="str">
        <f>"The reduced hours benefit index for this program is "&amp;TEXT(A25,"$0")&amp;", which is the "&amp;TEXT(A24,"$0")&amp;" scaled"</f>
        <v>The reduced hours benefit index for this program is $582, which is the $508 scaled</v>
      </c>
    </row>
    <row r="26" spans="1:3" x14ac:dyDescent="0.25">
      <c r="A26" s="101">
        <f>Parameters!$B$27</f>
        <v>0.24290790000000001</v>
      </c>
      <c r="C26" t="str">
        <f>"That average is about 24 percent of earnings, which is the $832 per month"</f>
        <v>That average is about 24 percent of earnings, which is the $832 per month</v>
      </c>
    </row>
    <row r="27" spans="1:3" x14ac:dyDescent="0.25">
      <c r="A27" s="8">
        <f>A26*52*Parameters!$B$25*Parameters!$B$10/(Parameters!$B$9*12)</f>
        <v>831.75186604863927</v>
      </c>
    </row>
    <row r="28" spans="1:3" x14ac:dyDescent="0.25">
      <c r="A28" s="8">
        <f>Parameters!$B$37*Parameters!$B$10/Parameters!$B$9</f>
        <v>1265.0327593033583</v>
      </c>
      <c r="C28" t="str">
        <f>"$1,265 per month in UI benefits - about the average among UI-eligible persons with earnings potential near the median - that's an extra $301 per month in taxes."</f>
        <v>$1,265 per month in UI benefits - about the average among UI-eligible persons with earnings potential near the median - that's an extra $301 per month in taxes.</v>
      </c>
    </row>
    <row r="29" spans="1:3" x14ac:dyDescent="0.25">
      <c r="A29" s="8">
        <f>Parameters!$B$28*A28</f>
        <v>300.80062803663589</v>
      </c>
    </row>
    <row r="30" spans="1:3" x14ac:dyDescent="0.25">
      <c r="A30" s="27">
        <f>30/510</f>
        <v>5.8823529411764705E-2</v>
      </c>
      <c r="C30" t="str">
        <f>"This puts the average marginal labor income tax rate (including in the average those among the uninsured who do not use any health care) from uncompensated care of 5.9 percent"</f>
        <v>This puts the average marginal labor income tax rate (including in the average those among the uninsured who do not use any health care) from uncompensated care of 5.9 percent</v>
      </c>
    </row>
    <row r="31" spans="1:3" x14ac:dyDescent="0.25">
      <c r="A31" s="8">
        <f>A30*52*Parameters!$B$25*Parameters!$B$10/(12*Parameters!$B$9)</f>
        <v>201.4202928591549</v>
      </c>
      <c r="C31" t="str">
        <f>"an uninsured person could expect to save an average of $201 in medical expenditures"</f>
        <v>an uninsured person could expect to save an average of $201 in medical expenditures</v>
      </c>
    </row>
    <row r="32" spans="1:3" x14ac:dyDescent="0.25">
      <c r="A32" s="74">
        <f>AVERAGE(A33,A34)</f>
        <v>0.13147284705882351</v>
      </c>
      <c r="C32" t="str">
        <f>"For example, the entry of "&amp;TEXT(A32,"0.000")&amp;" in the top row of Table 3 "</f>
        <v xml:space="preserve">For example, the entry of 0.131 in the top row of Table 3 </v>
      </c>
    </row>
    <row r="33" spans="1:3" x14ac:dyDescent="0.25">
      <c r="A33" s="74">
        <f>CoveragebyFTQuantile!$B$42*(1-Parameters!$B$22)*Parameters!$B$36/100</f>
        <v>0.12455322352941176</v>
      </c>
      <c r="C33" t="str">
        <f>"The "&amp;TEXT(A32,"0.000")&amp;" entry is the average of "&amp;TEXT(A33,"0.000")&amp;" (ACA) and "&amp;TEXT(A34,"0.000")&amp;" (no-ACA)."</f>
        <v>The 0.131 entry is the average of 0.125 (ACA) and 0.138 (no-ACA).</v>
      </c>
    </row>
    <row r="34" spans="1:3" x14ac:dyDescent="0.25">
      <c r="A34" s="74">
        <f>CoveragebyFTQuantile!$B$8*(1-Parameters!$B$22)*Parameters!$B$36/100</f>
        <v>0.13839247058823528</v>
      </c>
    </row>
    <row r="35" spans="1:3" x14ac:dyDescent="0.25">
      <c r="A35" s="74">
        <f>WgtDetail!$E$9</f>
        <v>2.8172752941176476E-2</v>
      </c>
      <c r="C35" t="str">
        <f>"the "&amp;TEXT(A35,"0.000")&amp;" and "&amp;TEXT(A32,"0.000")&amp;" entries in Table 3's second row, which total "&amp;TEXT(A36,"0.000")&amp;" and represent full-time employed persons who would receive an exchange subsidy if they left employment."</f>
        <v>the 0.028 and 0.131 entries in Table 3's second row, which total 0.160 and represent full-time employed persons who would receive an exchange subsidy if they left employment.</v>
      </c>
    </row>
    <row r="36" spans="1:3" x14ac:dyDescent="0.25">
      <c r="A36" s="74">
        <f>WgtDetail!$E$9+WgtDetail!$G$9</f>
        <v>0.1596456</v>
      </c>
    </row>
    <row r="37" spans="1:3" x14ac:dyDescent="0.25">
      <c r="A37" s="7">
        <f>CoveragebyFTQuantile!$B$8</f>
        <v>35.01</v>
      </c>
      <c r="C37" t="str">
        <f>"In 2011, 35.1% of non-elderly working household heads and spouses with earnings potential near the median were simultaneously working full-time, obtaining coverage through their employer, and in a family between 100 and 400 percent of the poverty line."</f>
        <v>In 2011, 35.1% of non-elderly working household heads and spouses with earnings potential near the median were simultaneously working full-time, obtaining coverage through their employer, and in a family between 100 and 400 percent of the poverty line.</v>
      </c>
    </row>
    <row r="38" spans="1:3" x14ac:dyDescent="0.25">
      <c r="A38" s="7">
        <f>CoveragebyFTQuantile!$B$31</f>
        <v>31.509</v>
      </c>
      <c r="C38" t="str">
        <f>"With the ACA, that percentage may fall to 31.5."</f>
        <v>With the ACA, that percentage may fall to 31.5.</v>
      </c>
    </row>
    <row r="39" spans="1:3" x14ac:dyDescent="0.25">
      <c r="A39" s="74">
        <f>Parameters!$B$36*AVERAGE(A37:A38)/100</f>
        <v>0.1596456</v>
      </c>
      <c r="C39" t="str">
        <f>"Multiplying the average of the two by the assumed exchange subsidy participation rate of "&amp;TEXT(Parameters!$B$36,"0%")&amp;" yields the combined fraction of "&amp;TEXT(A39,"0.000")&amp;" noted above."</f>
        <v>Multiplying the average of the two by the assumed exchange subsidy participation rate of 48% yields the combined fraction of 0.160 noted above.</v>
      </c>
    </row>
    <row r="40" spans="1:3" x14ac:dyDescent="0.25">
      <c r="A40" s="6">
        <f>WgtDetail!E9+WgtDetail!G9+WgtDetail!E11</f>
        <v>0.16420560000000001</v>
      </c>
      <c r="C40" t="str">
        <f>"The sum of all three of Table 3's green-coded employment entries is "&amp;TEXT(A40,"0.00")</f>
        <v>The sum of all three of Table 3's green-coded employment entries is 0.16</v>
      </c>
    </row>
    <row r="41" spans="1:3" x14ac:dyDescent="0.25">
      <c r="A41" s="6">
        <f>SUM(CoveragebyFTQuantile!$B$7:$E$7)/SUM(CoveragebyFTQuantile!$B$13:$E$13)</f>
        <v>0.12478580788226994</v>
      </c>
      <c r="C41" t="str">
        <f>"Table 1’s program weights for the individual mandate penalty (employment margin) are small because about "&amp;TEXT($A$41,"0%")&amp;" of the population is uninsured and about "&amp;TEXT($A$42,"0%")&amp;" are expected to be uninsured."</f>
        <v>Table 1’s program weights for the individual mandate penalty (employment margin) are small because about 12% of the population is uninsured and about 6% are expected to be uninsured.</v>
      </c>
    </row>
    <row r="42" spans="1:3" x14ac:dyDescent="0.25">
      <c r="A42" s="6">
        <f>SUM(CoveragebyFTQuantile!$B$41:$E$41)/SUM(CoveragebyFTQuantile!$B$48:$E$48)</f>
        <v>6.2392903941134975E-2</v>
      </c>
    </row>
    <row r="43" spans="1:3" x14ac:dyDescent="0.25">
      <c r="A43" s="6">
        <f>WgtDetail!$I$9+WgtDetail!$G$11+WgtDetail!$I$11+WgtDetail!$E$16+WgtDetail!$G$16+WgtDetail!$I$16+WgtDetail!$E$18+WgtDetail!$G$18+WgtDetail!$I$18</f>
        <v>7.2995608108108123E-2</v>
      </c>
      <c r="C43" t="str">
        <f>"by themselves would make a program weight of only "&amp;TEXT($A$43,"0.00")</f>
        <v>by themselves would make a program weight of only 0.07</v>
      </c>
    </row>
    <row r="44" spans="1:3" x14ac:dyDescent="0.25">
      <c r="A44" s="6">
        <f>1-Parameters!$B$32/52</f>
        <v>0.17394846153846144</v>
      </c>
      <c r="C44" t="str">
        <f>"scale down by the average fraction of their year that they would be non-employed if they reduced their labor supply by 6 weeks ("&amp;TEXT($A$44,"0.00")</f>
        <v>scale down by the average fraction of their year that they would be non-employed if they reduced their labor supply by 6 weeks (0.17</v>
      </c>
    </row>
    <row r="45" spans="1:3" x14ac:dyDescent="0.25">
      <c r="A45" s="6">
        <f>Parameters!$B$31</f>
        <v>0.43103448275862066</v>
      </c>
      <c r="C45" t="str">
        <f>"scale down again by the fraction "&amp;TEXT($A$45,"0.00")&amp;" of aggregate hours changes that can be attributed to changes in weeks worked"</f>
        <v>scale down again by the fraction 0.43 of aggregate hours changes that can be attributed to changes in weeks worked</v>
      </c>
    </row>
    <row r="46" spans="1:3" x14ac:dyDescent="0.25">
      <c r="A46" s="6">
        <f>Parameters!$B$33</f>
        <v>0.32678089999999999</v>
      </c>
      <c r="C46" t="str">
        <f>"scale up by one plus the "&amp;TEXT($A$46,"0.00")&amp;" fraction of the sample in a dual-earner couple"</f>
        <v>scale up by one plus the 0.33 fraction of the sample in a dual-earner couple</v>
      </c>
    </row>
    <row r="47" spans="1:3" x14ac:dyDescent="0.25">
      <c r="A47" s="6">
        <f>Table1!$B$23</f>
        <v>8.9330632303643992E-2</v>
      </c>
      <c r="C47" t="str">
        <f>"to get an overall sliding scale weight of "&amp;TEXT($A$47,"0.00")&amp;" for the two employment margins in Table 1"</f>
        <v>to get an overall sliding scale weight of 0.09 for the two employment margins in Table 1</v>
      </c>
    </row>
    <row r="48" spans="1:3" x14ac:dyDescent="0.25">
      <c r="A48">
        <f>AVERAGE(27,29,13)</f>
        <v>23</v>
      </c>
      <c r="C48" t="str">
        <f>"The simple average of these three is "&amp;TEXT(A48,"0")&amp;" percent"</f>
        <v>The simple average of these three is 23 percent</v>
      </c>
    </row>
    <row r="49" spans="1:3" x14ac:dyDescent="0.25">
      <c r="A49" s="8">
        <f>CoveragebyFTQuantile!$H$42</f>
        <v>54.244401261523528</v>
      </c>
      <c r="C49" t="str">
        <f>"About "&amp;TEXT(A49,"0")&amp;" percent of median earners will have ESI at work"</f>
        <v>About 54 percent of median earners will have ESI at work</v>
      </c>
    </row>
    <row r="50" spans="1:3" x14ac:dyDescent="0.25">
      <c r="A50" s="6">
        <f>Table1!$B$28</f>
        <v>5.506269980397701E-2</v>
      </c>
      <c r="C50" t="str">
        <f>"The weight for the ACA’s implicit taxation of UI benefits is "&amp;TEXT(A50,"0.00")</f>
        <v>The weight for the ACA’s implicit taxation of UI benefits is 0.06</v>
      </c>
    </row>
    <row r="51" spans="1:3" x14ac:dyDescent="0.25">
      <c r="A51" s="8">
        <f>AVERAGE(Table1!$B$31:$C$31)</f>
        <v>205.71134284013658</v>
      </c>
      <c r="C51" t="str">
        <f>"The combined effect of the ACA is to add about "&amp;TEXT(A51,"$0")&amp;" per month in the assistance that people with median earnings potential get when they spend time not employed."</f>
        <v>The combined effect of the ACA is to add about $206 per month in the assistance that people with median earnings potential get when they spend time not employed.</v>
      </c>
    </row>
    <row r="52" spans="1:3" x14ac:dyDescent="0.25">
      <c r="A52" s="8">
        <f>Table1!$D$31</f>
        <v>206.91976730947442</v>
      </c>
      <c r="C52" t="str">
        <f>"the ACA adds "&amp;TEXT(A52,"$0")&amp;" per month to the assistance, if any, they get when they move from full-time work to part-time work"</f>
        <v>the ACA adds $207 per month to the assistance, if any, they get when they move from full-time work to part-time work</v>
      </c>
    </row>
    <row r="53" spans="1:3" x14ac:dyDescent="0.25">
      <c r="A53" s="8">
        <f>Table1!$C$33</f>
        <v>204.37003116221848</v>
      </c>
      <c r="C53" t="str">
        <f>TEXT(A53,"$0")&amp;" per month is "&amp;TEXT(A54,"0.0%")&amp;" of the total compensation of a person of median earnings potential who is working full-time."</f>
        <v>$204 per month is 4.8% of the total compensation of a person of median earnings potential who is working full-time.</v>
      </c>
    </row>
    <row r="54" spans="1:3" x14ac:dyDescent="0.25">
      <c r="A54" s="74">
        <f>A$53*Parameters!$B$9/(Parameters!$B$10*Parameters!$B$26)</f>
        <v>4.8367084219306543E-2</v>
      </c>
    </row>
    <row r="55" spans="1:3" x14ac:dyDescent="0.25">
      <c r="A55" s="7">
        <f>A$53*Parameters!$B$9*100/(Parameters!$B$10*Parameters!$B$26)</f>
        <v>4.8367084219306538</v>
      </c>
      <c r="B55" t="s">
        <v>293</v>
      </c>
      <c r="C55" t="str">
        <f>"In 2014 and 2016, the percentage point additions (relative to the no-ACA baseline) are 4.0 and 5.4, respectively."</f>
        <v>In 2014 and 2016, the percentage point additions (relative to the no-ACA baseline) are 4.0 and 5.4, respectively.</v>
      </c>
    </row>
    <row r="56" spans="1:3" x14ac:dyDescent="0.25">
      <c r="A56" s="7">
        <f>A$53*Parameters!$B$9*100/(Parameters!$B$10*Parameters!$B$26)</f>
        <v>4.8367084219306538</v>
      </c>
      <c r="B56" t="s">
        <v>293</v>
      </c>
    </row>
    <row r="57" spans="1:3" x14ac:dyDescent="0.25">
      <c r="A57" s="6">
        <f>1-WgtDetail!$L$33</f>
        <v>0.54012211460502102</v>
      </c>
      <c r="C57" t="str">
        <f>TEXT(A57,"0%")&amp;" of household heads and spouses who would be working without the ACA – the sum of the table entries without any color codes – are not eligible for, or would not participate in, any of the subsidies or penalties that are created by the ACA."</f>
        <v>54% of household heads and spouses who would be working without the ACA – the sum of the table entries without any color codes – are not eligible for, or would not participate in, any of the subsidies or penalties that are created by the ACA.</v>
      </c>
    </row>
    <row r="58" spans="1:3" x14ac:dyDescent="0.25">
      <c r="C58" t="str">
        <f>"Thus, half of the household heads and spouses who would be working without the ACA have their marginal tax rate unchanged by the ACA and the other half have their marginal tax rate increased by an average of "&amp;TEXT(A4*100,"0")&amp;" percentage points."</f>
        <v>Thus, half of the household heads and spouses who would be working without the ACA have their marginal tax rate unchanged by the ACA and the other half have their marginal tax rate increased by an average of 11 percentage points.</v>
      </c>
    </row>
    <row r="59" spans="1:3" x14ac:dyDescent="0.25">
      <c r="A59" s="6">
        <f>WgtDetail!$L$33</f>
        <v>0.45987788539497904</v>
      </c>
      <c r="B59" t="s">
        <v>294</v>
      </c>
      <c r="C59" t="str">
        <f>"The percentage of affected sometime-employed household heads and spouses generally (without regard for weekly earnings) is "&amp;TEXT(A59*100,"0")</f>
        <v>The percentage of affected sometime-employed household heads and spouses generally (without regard for weekly earnings) is 46</v>
      </c>
    </row>
    <row r="60" spans="1:3" x14ac:dyDescent="0.25">
      <c r="A60" s="8">
        <f>Table1!$C$33-Table1!$B$23*Table1!$B$10</f>
        <v>130.06911104835771</v>
      </c>
      <c r="C60" t="str">
        <f>"even if we completely ignored the sliding scale nature of the premium assistance, the ACA's added disincentive would still be more than "&amp;TEXT(A60,"$0")&amp;" per month."</f>
        <v>even if we completely ignored the sliding scale nature of the premium assistance, the ACA's added disincentive would still be more than $130 per month.</v>
      </c>
    </row>
    <row r="61" spans="1:3" x14ac:dyDescent="0.25">
      <c r="A61" s="8">
        <f>Table1!$B$31</f>
        <v>202.18915835914214</v>
      </c>
      <c r="C61" t="str">
        <f>"the margin specific totals have a pretty tight range: "&amp;TEXT(A61,"$0")&amp;" to "&amp;TEXT(A62,"$0")</f>
        <v>the margin specific totals have a pretty tight range: $202 to $207</v>
      </c>
    </row>
    <row r="62" spans="1:3" x14ac:dyDescent="0.25">
      <c r="A62" s="8">
        <f>Table1!$D$31</f>
        <v>206.91976730947442</v>
      </c>
    </row>
    <row r="63" spans="1:3" x14ac:dyDescent="0.25">
      <c r="A63">
        <f>0.9*0.01</f>
        <v>9.0000000000000011E-3</v>
      </c>
      <c r="C63" t="str">
        <f>"Additional Medicare Tax of 0.9 percent of earnings above a threshold … which makes its contribution to average marginal tax rates about "&amp;TEXT(A63,"0.00")&amp;" percentage points"</f>
        <v>Additional Medicare Tax of 0.9 percent of earnings above a threshold … which makes its contribution to average marginal tax rates about 0.01 percentage points</v>
      </c>
    </row>
    <row r="64" spans="1:3" x14ac:dyDescent="0.25">
      <c r="A64" s="6">
        <f>1-((1-0.504)/(1-0.401))</f>
        <v>0.17195325542570949</v>
      </c>
      <c r="C64" t="str">
        <f>"at a given marginal productivity of labor the reward to working fell "&amp;TEXT(A64,"0%")</f>
        <v>at a given marginal productivity of labor the reward to working fell 17%</v>
      </c>
    </row>
    <row r="65" spans="1:3" x14ac:dyDescent="0.25">
      <c r="A65" s="6">
        <f>1-88.406/105.129</f>
        <v>0.15907123629065245</v>
      </c>
      <c r="C65" t="s">
        <v>307</v>
      </c>
    </row>
    <row r="66" spans="1:3" x14ac:dyDescent="0.25">
      <c r="A66" s="7">
        <f>MIN(Sensitivity!$E$11:$E$16)</f>
        <v>4.0815043308602803</v>
      </c>
      <c r="C66" t="str">
        <f>"Altering the valuation assumptions puts the ACA’s addition to the 2016 marginal tax rate in a range of "&amp;TEXT(A66,"0.0")&amp;" to "&amp;TEXT(A67,"0.0")&amp;" percentage points."</f>
        <v>Altering the valuation assumptions puts the ACA’s addition to the 2016 marginal tax rate in a range of 4.1 to 6.0 percentage points.</v>
      </c>
    </row>
    <row r="67" spans="1:3" x14ac:dyDescent="0.25">
      <c r="A67" s="7">
        <f>MAX(Sensitivity!$E$11:$E$16)</f>
        <v>5.9517120872033749</v>
      </c>
    </row>
    <row r="68" spans="1:3" x14ac:dyDescent="0.25">
      <c r="A68" s="6">
        <v>0.83</v>
      </c>
      <c r="C68" t="s">
        <v>296</v>
      </c>
    </row>
    <row r="69" spans="1:3" x14ac:dyDescent="0.25">
      <c r="A69" s="103">
        <v>15745</v>
      </c>
      <c r="C69" t="s">
        <v>295</v>
      </c>
    </row>
    <row r="70" spans="1:3" x14ac:dyDescent="0.25">
      <c r="A70" s="103">
        <v>5615</v>
      </c>
      <c r="C70" t="s">
        <v>295</v>
      </c>
    </row>
    <row r="71" spans="1:3" x14ac:dyDescent="0.25">
      <c r="A71" s="103">
        <f>A69/A$68</f>
        <v>18969.879518072292</v>
      </c>
      <c r="C71" t="str">
        <f>"the Kaiser results suggest that annual medical payments (premiums plus out-of-pocket expenses) averaged about "&amp;TEXT(A71,"$0,000")&amp;" ("&amp;TEXT(A72,"$0,000")&amp;") for family (single) coverage by employer plans"</f>
        <v>the Kaiser results suggest that annual medical payments (premiums plus out-of-pocket expenses) averaged about $18,970 ($6,765) for family (single) coverage by employer plans</v>
      </c>
    </row>
    <row r="72" spans="1:3" x14ac:dyDescent="0.25">
      <c r="A72" s="103">
        <f>A70/A$68</f>
        <v>6765.0602409638559</v>
      </c>
    </row>
    <row r="73" spans="1:3" x14ac:dyDescent="0.25">
      <c r="A73" s="103">
        <f>(1.04^2)*A71</f>
        <v>20517.821686746993</v>
      </c>
      <c r="C73" t="str">
        <f>"With 4 percent annual cost growth (the rate of growth measured between the 2011 and 2012 Kaiser surveys), these amounts may be "&amp;TEXT(A73,"$0,000")&amp;" ("&amp;TEXT(A74,"$0,000")&amp;") by 2014, respectively, and "&amp;TEXT(A75,"$0,000")&amp;" ("&amp;TEXT(A76,"$0,000")&amp;") by 2016."</f>
        <v>With 4 percent annual cost growth (the rate of growth measured between the 2011 and 2012 Kaiser surveys), these amounts may be $20,518 ($7,317) by 2014, respectively, and $22,192 ($7,914) by 2016.</v>
      </c>
    </row>
    <row r="74" spans="1:3" x14ac:dyDescent="0.25">
      <c r="A74" s="103">
        <f>(1.04^2)*A72</f>
        <v>7317.0891566265072</v>
      </c>
    </row>
    <row r="75" spans="1:3" x14ac:dyDescent="0.25">
      <c r="A75" s="103">
        <f>(1.04^2)*A73</f>
        <v>22192.07593638555</v>
      </c>
    </row>
    <row r="76" spans="1:3" x14ac:dyDescent="0.25">
      <c r="A76" s="103">
        <f>(1.04^2)*A74</f>
        <v>7914.1636318072315</v>
      </c>
    </row>
    <row r="77" spans="1:3" x14ac:dyDescent="0.25">
      <c r="A77" s="103">
        <f>1916/0.7</f>
        <v>2737.1428571428573</v>
      </c>
      <c r="C77" t="str">
        <f>"Per the KFF calculator, children under 18 are each assigned an EMP of $2,737 (2014 dollars), except that the total EMP for a household's children under 18 is capped at $8,211."</f>
        <v>Per the KFF calculator, children under 18 are each assigned an EMP of $2,737 (2014 dollars), except that the total EMP for a household's children under 18 is capped at $8,211.</v>
      </c>
    </row>
    <row r="78" spans="1:3" x14ac:dyDescent="0.25">
      <c r="A78" s="103">
        <f>A77*3</f>
        <v>8211.4285714285725</v>
      </c>
    </row>
    <row r="79" spans="1:3" x14ac:dyDescent="0.25">
      <c r="A79" s="6"/>
    </row>
    <row r="81" spans="1:2" x14ac:dyDescent="0.25">
      <c r="A81" s="6"/>
    </row>
    <row r="82" spans="1:2" x14ac:dyDescent="0.25">
      <c r="A82" s="6"/>
    </row>
    <row r="83" spans="1:2" x14ac:dyDescent="0.25">
      <c r="A83" s="6"/>
    </row>
    <row r="84" spans="1:2" x14ac:dyDescent="0.25">
      <c r="A84" s="6"/>
    </row>
    <row r="85" spans="1:2" x14ac:dyDescent="0.25">
      <c r="A85" s="6"/>
    </row>
    <row r="86" spans="1:2" x14ac:dyDescent="0.25">
      <c r="A86" s="6"/>
    </row>
    <row r="87" spans="1:2" x14ac:dyDescent="0.25">
      <c r="A87" s="74"/>
    </row>
    <row r="88" spans="1:2" x14ac:dyDescent="0.25">
      <c r="A88" s="74"/>
    </row>
    <row r="89" spans="1:2" x14ac:dyDescent="0.25">
      <c r="A89" s="6"/>
    </row>
    <row r="90" spans="1:2" x14ac:dyDescent="0.25">
      <c r="A90" s="6"/>
    </row>
    <row r="91" spans="1:2" x14ac:dyDescent="0.25">
      <c r="A91" t="s">
        <v>310</v>
      </c>
    </row>
    <row r="92" spans="1:2" x14ac:dyDescent="0.25">
      <c r="B92" s="31"/>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heetViews>
  <sheetFormatPr defaultColWidth="12" defaultRowHeight="15" x14ac:dyDescent="0.25"/>
  <cols>
    <col min="1" max="1" width="12" style="10"/>
    <col min="2" max="2" width="12" style="7"/>
  </cols>
  <sheetData>
    <row r="1" spans="1:2" x14ac:dyDescent="0.25">
      <c r="A1" s="10" t="s">
        <v>13</v>
      </c>
    </row>
    <row r="2" spans="1:2" x14ac:dyDescent="0.25">
      <c r="A2" s="10" t="s">
        <v>14</v>
      </c>
      <c r="B2" s="7" t="s">
        <v>19</v>
      </c>
    </row>
    <row r="3" spans="1:2" x14ac:dyDescent="0.25">
      <c r="A3" s="10" t="s">
        <v>15</v>
      </c>
      <c r="B3" s="7" t="s">
        <v>18</v>
      </c>
    </row>
    <row r="4" spans="1:2" x14ac:dyDescent="0.25">
      <c r="A4" s="10">
        <f>DATE(2006,1,1)</f>
        <v>38718</v>
      </c>
      <c r="B4" s="7" t="s">
        <v>20</v>
      </c>
    </row>
    <row r="5" spans="1:2" x14ac:dyDescent="0.25">
      <c r="A5" s="11" t="s">
        <v>16</v>
      </c>
    </row>
    <row r="6" spans="1:2" x14ac:dyDescent="0.25">
      <c r="A6" s="10" t="s">
        <v>17</v>
      </c>
    </row>
    <row r="7" spans="1:2" x14ac:dyDescent="0.25">
      <c r="A7" s="10" t="s">
        <v>21</v>
      </c>
      <c r="B7" s="7" t="s">
        <v>22</v>
      </c>
    </row>
    <row r="8" spans="1:2" x14ac:dyDescent="0.25">
      <c r="A8" s="10">
        <v>38718</v>
      </c>
      <c r="B8" s="7">
        <v>102.723</v>
      </c>
    </row>
    <row r="9" spans="1:2" x14ac:dyDescent="0.25">
      <c r="A9" s="10">
        <v>39083</v>
      </c>
      <c r="B9" s="7">
        <v>105.499</v>
      </c>
    </row>
    <row r="10" spans="1:2" x14ac:dyDescent="0.25">
      <c r="A10" s="10">
        <v>39448</v>
      </c>
      <c r="B10" s="7">
        <v>108.943</v>
      </c>
    </row>
    <row r="11" spans="1:2" x14ac:dyDescent="0.25">
      <c r="A11" s="10">
        <v>39814</v>
      </c>
      <c r="B11" s="7">
        <v>109.004</v>
      </c>
    </row>
    <row r="12" spans="1:2" x14ac:dyDescent="0.25">
      <c r="A12" s="10">
        <v>40179</v>
      </c>
      <c r="B12" s="7">
        <v>111.087</v>
      </c>
    </row>
    <row r="13" spans="1:2" x14ac:dyDescent="0.25">
      <c r="A13" s="10">
        <v>40544</v>
      </c>
      <c r="B13" s="7">
        <v>113.79</v>
      </c>
    </row>
    <row r="14" spans="1:2" x14ac:dyDescent="0.25">
      <c r="A14" s="10">
        <v>40909</v>
      </c>
      <c r="B14" s="7">
        <v>115.79</v>
      </c>
    </row>
    <row r="15" spans="1:2" x14ac:dyDescent="0.25">
      <c r="A15" s="10">
        <v>41275</v>
      </c>
      <c r="B15" s="7" t="e">
        <f>NA()</f>
        <v>#N/A</v>
      </c>
    </row>
  </sheetData>
  <hyperlinks>
    <hyperlink ref="A5" r:id="rId1"/>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73"/>
  <sheetViews>
    <sheetView workbookViewId="0"/>
  </sheetViews>
  <sheetFormatPr defaultColWidth="8.85546875" defaultRowHeight="15" x14ac:dyDescent="0.25"/>
  <cols>
    <col min="1" max="1" width="33.42578125" bestFit="1" customWidth="1"/>
    <col min="2" max="46" width="6.7109375" customWidth="1"/>
  </cols>
  <sheetData>
    <row r="2" spans="1:41" x14ac:dyDescent="0.25">
      <c r="A2" t="s">
        <v>141</v>
      </c>
      <c r="B2" t="s">
        <v>142</v>
      </c>
    </row>
    <row r="3" spans="1:41" x14ac:dyDescent="0.25">
      <c r="B3">
        <v>1</v>
      </c>
      <c r="J3">
        <v>1</v>
      </c>
      <c r="R3">
        <v>2</v>
      </c>
      <c r="Z3">
        <v>3</v>
      </c>
      <c r="AH3">
        <v>4</v>
      </c>
    </row>
    <row r="4" spans="1:41" x14ac:dyDescent="0.25">
      <c r="A4" s="40" t="s">
        <v>138</v>
      </c>
      <c r="B4" s="117" t="s">
        <v>136</v>
      </c>
      <c r="C4" s="117"/>
      <c r="D4" s="117"/>
      <c r="E4" s="117"/>
      <c r="F4" s="117"/>
      <c r="G4" s="117"/>
      <c r="H4" s="117"/>
      <c r="J4" s="117" t="s">
        <v>129</v>
      </c>
      <c r="K4" s="117"/>
      <c r="L4" s="117"/>
      <c r="M4" s="117"/>
      <c r="N4" s="117"/>
      <c r="O4" s="117"/>
      <c r="P4" s="117"/>
      <c r="R4" s="117" t="s">
        <v>132</v>
      </c>
      <c r="S4" s="117"/>
      <c r="T4" s="117"/>
      <c r="U4" s="117"/>
      <c r="V4" s="117"/>
      <c r="W4" s="117"/>
      <c r="X4" s="117"/>
      <c r="Z4" s="117" t="s">
        <v>134</v>
      </c>
      <c r="AA4" s="117"/>
      <c r="AB4" s="117"/>
      <c r="AC4" s="117"/>
      <c r="AD4" s="117"/>
      <c r="AE4" s="117"/>
      <c r="AF4" s="117"/>
      <c r="AH4" s="117" t="s">
        <v>199</v>
      </c>
      <c r="AI4" s="117"/>
      <c r="AJ4" s="117"/>
      <c r="AK4" s="117"/>
      <c r="AL4" s="117"/>
      <c r="AM4" s="117"/>
      <c r="AN4" s="117"/>
    </row>
    <row r="5" spans="1:41" x14ac:dyDescent="0.25">
      <c r="B5" s="117" t="s">
        <v>123</v>
      </c>
      <c r="C5" s="117"/>
      <c r="D5" s="117" t="s">
        <v>124</v>
      </c>
      <c r="E5" s="117"/>
      <c r="F5" s="117" t="s">
        <v>125</v>
      </c>
      <c r="G5" s="117"/>
      <c r="H5" s="29" t="s">
        <v>128</v>
      </c>
      <c r="J5" s="117" t="s">
        <v>123</v>
      </c>
      <c r="K5" s="117"/>
      <c r="L5" s="117" t="s">
        <v>124</v>
      </c>
      <c r="M5" s="117"/>
      <c r="N5" s="117" t="s">
        <v>125</v>
      </c>
      <c r="O5" s="117"/>
      <c r="P5" s="29" t="s">
        <v>128</v>
      </c>
      <c r="R5" s="117" t="s">
        <v>123</v>
      </c>
      <c r="S5" s="117"/>
      <c r="T5" s="117" t="s">
        <v>124</v>
      </c>
      <c r="U5" s="117"/>
      <c r="V5" s="117" t="s">
        <v>125</v>
      </c>
      <c r="W5" s="117"/>
      <c r="X5" s="29" t="s">
        <v>128</v>
      </c>
      <c r="Z5" s="117" t="s">
        <v>123</v>
      </c>
      <c r="AA5" s="117"/>
      <c r="AB5" s="117" t="s">
        <v>124</v>
      </c>
      <c r="AC5" s="117"/>
      <c r="AD5" s="117" t="s">
        <v>125</v>
      </c>
      <c r="AE5" s="117"/>
      <c r="AF5" s="29" t="s">
        <v>128</v>
      </c>
      <c r="AH5" s="117" t="s">
        <v>123</v>
      </c>
      <c r="AI5" s="117"/>
      <c r="AJ5" s="117" t="s">
        <v>124</v>
      </c>
      <c r="AK5" s="117"/>
      <c r="AL5" s="117" t="s">
        <v>125</v>
      </c>
      <c r="AM5" s="117"/>
      <c r="AN5" s="29" t="s">
        <v>128</v>
      </c>
    </row>
    <row r="6" spans="1:41" x14ac:dyDescent="0.25">
      <c r="A6" s="2" t="s">
        <v>130</v>
      </c>
      <c r="B6" s="15" t="s">
        <v>121</v>
      </c>
      <c r="C6" s="15" t="s">
        <v>122</v>
      </c>
      <c r="D6" s="15" t="s">
        <v>121</v>
      </c>
      <c r="E6" s="15" t="s">
        <v>122</v>
      </c>
      <c r="F6" s="15" t="s">
        <v>121</v>
      </c>
      <c r="G6" s="15" t="s">
        <v>122</v>
      </c>
      <c r="H6" s="2"/>
      <c r="I6" s="2"/>
      <c r="J6" s="15" t="s">
        <v>121</v>
      </c>
      <c r="K6" s="15" t="s">
        <v>122</v>
      </c>
      <c r="L6" s="15" t="s">
        <v>121</v>
      </c>
      <c r="M6" s="15" t="s">
        <v>122</v>
      </c>
      <c r="N6" s="15" t="s">
        <v>121</v>
      </c>
      <c r="O6" s="15" t="s">
        <v>122</v>
      </c>
      <c r="R6" s="15" t="s">
        <v>121</v>
      </c>
      <c r="S6" s="15" t="s">
        <v>122</v>
      </c>
      <c r="T6" s="15" t="s">
        <v>121</v>
      </c>
      <c r="U6" s="15" t="s">
        <v>122</v>
      </c>
      <c r="V6" s="15" t="s">
        <v>121</v>
      </c>
      <c r="W6" s="15" t="s">
        <v>122</v>
      </c>
      <c r="Z6" s="15" t="s">
        <v>121</v>
      </c>
      <c r="AA6" s="15" t="s">
        <v>122</v>
      </c>
      <c r="AB6" s="15" t="s">
        <v>121</v>
      </c>
      <c r="AC6" s="15" t="s">
        <v>122</v>
      </c>
      <c r="AD6" s="15" t="s">
        <v>121</v>
      </c>
      <c r="AE6" s="15" t="s">
        <v>122</v>
      </c>
      <c r="AH6" s="15" t="s">
        <v>121</v>
      </c>
      <c r="AI6" s="15" t="s">
        <v>122</v>
      </c>
      <c r="AJ6" s="15" t="s">
        <v>121</v>
      </c>
      <c r="AK6" s="15" t="s">
        <v>122</v>
      </c>
      <c r="AL6" s="15" t="s">
        <v>121</v>
      </c>
      <c r="AM6" s="15" t="s">
        <v>122</v>
      </c>
    </row>
    <row r="7" spans="1:41" x14ac:dyDescent="0.25">
      <c r="A7" t="s">
        <v>59</v>
      </c>
      <c r="B7">
        <f t="shared" ref="B7:H12" si="0">IF($B$3=1,J7,IF($B$3=2,R7,IF($B$3=3,Z7,IF($B$3=4,AH7,""))))</f>
        <v>8.6300000000000008</v>
      </c>
      <c r="C7">
        <f t="shared" si="0"/>
        <v>1.1299999999999999</v>
      </c>
      <c r="D7">
        <f t="shared" si="0"/>
        <v>2.25</v>
      </c>
      <c r="E7">
        <f t="shared" si="0"/>
        <v>0.37</v>
      </c>
      <c r="F7">
        <f t="shared" si="0"/>
        <v>0.28999999999999998</v>
      </c>
      <c r="G7">
        <f t="shared" si="0"/>
        <v>0.15</v>
      </c>
      <c r="H7">
        <f t="shared" si="0"/>
        <v>12.82</v>
      </c>
      <c r="J7" s="17">
        <v>8.6300000000000008</v>
      </c>
      <c r="K7" s="17">
        <v>1.1299999999999999</v>
      </c>
      <c r="L7" s="17">
        <v>2.25</v>
      </c>
      <c r="M7" s="17">
        <v>0.37</v>
      </c>
      <c r="N7" s="17">
        <v>0.28999999999999998</v>
      </c>
      <c r="O7" s="17">
        <v>0.15</v>
      </c>
      <c r="P7" s="17">
        <v>12.82</v>
      </c>
      <c r="R7" s="17">
        <v>20.72</v>
      </c>
      <c r="S7" s="17">
        <v>7.39</v>
      </c>
      <c r="T7" s="17">
        <v>0</v>
      </c>
      <c r="U7" s="17">
        <v>0</v>
      </c>
      <c r="V7" s="17">
        <v>0</v>
      </c>
      <c r="W7" s="17">
        <v>0</v>
      </c>
      <c r="X7" s="17">
        <v>28.1</v>
      </c>
      <c r="Z7" s="17">
        <v>2.08</v>
      </c>
      <c r="AA7" s="17">
        <v>0.48</v>
      </c>
      <c r="AB7" s="17">
        <v>3.89</v>
      </c>
      <c r="AC7" s="17">
        <v>0.71</v>
      </c>
      <c r="AD7" s="17">
        <v>0</v>
      </c>
      <c r="AE7" s="17">
        <v>0</v>
      </c>
      <c r="AF7" s="17">
        <v>7.16</v>
      </c>
      <c r="AH7" s="17">
        <v>7.27</v>
      </c>
      <c r="AI7" s="17">
        <v>2.42</v>
      </c>
      <c r="AJ7" s="17">
        <v>2.54</v>
      </c>
      <c r="AK7" s="17">
        <v>0.46</v>
      </c>
      <c r="AL7" s="17">
        <v>1.66</v>
      </c>
      <c r="AM7" s="17">
        <v>1.1499999999999999</v>
      </c>
      <c r="AN7" s="17">
        <v>15.51</v>
      </c>
    </row>
    <row r="8" spans="1:41" x14ac:dyDescent="0.25">
      <c r="A8" s="21" t="s">
        <v>38</v>
      </c>
      <c r="B8">
        <f t="shared" si="0"/>
        <v>35.01</v>
      </c>
      <c r="C8">
        <f t="shared" si="0"/>
        <v>1</v>
      </c>
      <c r="D8">
        <f t="shared" si="0"/>
        <v>20.04</v>
      </c>
      <c r="E8">
        <f t="shared" si="0"/>
        <v>1.24</v>
      </c>
      <c r="F8">
        <f t="shared" si="0"/>
        <v>7.0000000000000007E-2</v>
      </c>
      <c r="G8">
        <f t="shared" si="0"/>
        <v>0.03</v>
      </c>
      <c r="H8">
        <f t="shared" si="0"/>
        <v>57.38</v>
      </c>
      <c r="I8" s="21"/>
      <c r="J8" s="17">
        <v>35.01</v>
      </c>
      <c r="K8" s="17">
        <v>1</v>
      </c>
      <c r="L8" s="17">
        <v>20.04</v>
      </c>
      <c r="M8" s="17">
        <v>1.24</v>
      </c>
      <c r="N8" s="17">
        <v>7.0000000000000007E-2</v>
      </c>
      <c r="O8" s="17">
        <v>0.03</v>
      </c>
      <c r="P8" s="17">
        <v>57.38</v>
      </c>
      <c r="R8" s="17">
        <v>36.590000000000003</v>
      </c>
      <c r="S8" s="17">
        <v>3.64</v>
      </c>
      <c r="T8" s="17">
        <v>0</v>
      </c>
      <c r="U8" s="17">
        <v>0</v>
      </c>
      <c r="V8" s="17">
        <v>0</v>
      </c>
      <c r="W8" s="17">
        <v>0</v>
      </c>
      <c r="X8" s="17">
        <v>40.229999999999997</v>
      </c>
      <c r="Z8" s="17">
        <v>12.17</v>
      </c>
      <c r="AA8" s="17">
        <v>0.66</v>
      </c>
      <c r="AB8" s="17">
        <v>44.88</v>
      </c>
      <c r="AC8" s="17">
        <v>2.23</v>
      </c>
      <c r="AD8" s="17">
        <v>0</v>
      </c>
      <c r="AE8" s="17">
        <v>0</v>
      </c>
      <c r="AF8" s="17">
        <v>59.93</v>
      </c>
      <c r="AH8" s="17">
        <v>18.38</v>
      </c>
      <c r="AI8" s="17">
        <v>1.47</v>
      </c>
      <c r="AJ8" s="17">
        <v>29.26</v>
      </c>
      <c r="AK8" s="17">
        <v>1.45</v>
      </c>
      <c r="AL8" s="17">
        <v>0.57999999999999996</v>
      </c>
      <c r="AM8" s="17">
        <v>0.2</v>
      </c>
      <c r="AN8" s="17">
        <v>51.36</v>
      </c>
    </row>
    <row r="9" spans="1:41" x14ac:dyDescent="0.25">
      <c r="A9" s="21" t="s">
        <v>39</v>
      </c>
      <c r="B9">
        <f t="shared" si="0"/>
        <v>2.0699999999999998</v>
      </c>
      <c r="C9">
        <f t="shared" si="0"/>
        <v>0.31</v>
      </c>
      <c r="D9">
        <f t="shared" si="0"/>
        <v>0.99</v>
      </c>
      <c r="E9">
        <f t="shared" si="0"/>
        <v>0.31</v>
      </c>
      <c r="F9">
        <f t="shared" si="0"/>
        <v>0</v>
      </c>
      <c r="G9">
        <f t="shared" si="0"/>
        <v>0</v>
      </c>
      <c r="H9">
        <f t="shared" si="0"/>
        <v>3.68</v>
      </c>
      <c r="I9" s="21"/>
      <c r="J9" s="17">
        <v>2.0699999999999998</v>
      </c>
      <c r="K9" s="17">
        <v>0.31</v>
      </c>
      <c r="L9" s="17">
        <v>0.99</v>
      </c>
      <c r="M9" s="17">
        <v>0.31</v>
      </c>
      <c r="N9" s="17">
        <v>0</v>
      </c>
      <c r="O9" s="17">
        <v>0</v>
      </c>
      <c r="P9" s="17">
        <v>3.68</v>
      </c>
      <c r="R9" s="17">
        <v>3.03</v>
      </c>
      <c r="S9" s="17">
        <v>1.56</v>
      </c>
      <c r="T9" s="17">
        <v>0</v>
      </c>
      <c r="U9" s="17">
        <v>0</v>
      </c>
      <c r="V9" s="17">
        <v>0</v>
      </c>
      <c r="W9" s="17">
        <v>0</v>
      </c>
      <c r="X9" s="17">
        <v>4.59</v>
      </c>
      <c r="Z9" s="17">
        <v>0.69</v>
      </c>
      <c r="AA9" s="17">
        <v>0.28000000000000003</v>
      </c>
      <c r="AB9" s="17">
        <v>2.31</v>
      </c>
      <c r="AC9" s="17">
        <v>0.65</v>
      </c>
      <c r="AD9" s="17">
        <v>0</v>
      </c>
      <c r="AE9" s="17">
        <v>0</v>
      </c>
      <c r="AF9" s="17">
        <v>3.93</v>
      </c>
      <c r="AH9" s="17">
        <v>1.31</v>
      </c>
      <c r="AI9" s="17">
        <v>0.63</v>
      </c>
      <c r="AJ9" s="17">
        <v>1.51</v>
      </c>
      <c r="AK9" s="17">
        <v>0.43</v>
      </c>
      <c r="AL9" s="17">
        <v>0.12</v>
      </c>
      <c r="AM9" s="17">
        <v>0.12</v>
      </c>
      <c r="AN9" s="17">
        <v>4.1100000000000003</v>
      </c>
    </row>
    <row r="10" spans="1:41" x14ac:dyDescent="0.25">
      <c r="A10" s="21" t="s">
        <v>40</v>
      </c>
      <c r="B10">
        <f t="shared" si="0"/>
        <v>4.3499999999999996</v>
      </c>
      <c r="C10">
        <f t="shared" si="0"/>
        <v>0.63</v>
      </c>
      <c r="D10">
        <f t="shared" si="0"/>
        <v>9.6</v>
      </c>
      <c r="E10">
        <f t="shared" si="0"/>
        <v>1.8</v>
      </c>
      <c r="F10">
        <f t="shared" si="0"/>
        <v>0</v>
      </c>
      <c r="G10">
        <f t="shared" si="0"/>
        <v>0</v>
      </c>
      <c r="H10">
        <f t="shared" si="0"/>
        <v>16.38</v>
      </c>
      <c r="I10" s="21"/>
      <c r="J10" s="17">
        <v>4.3499999999999996</v>
      </c>
      <c r="K10" s="17">
        <v>0.63</v>
      </c>
      <c r="L10" s="17">
        <v>9.6</v>
      </c>
      <c r="M10" s="17">
        <v>1.8</v>
      </c>
      <c r="N10" s="17">
        <v>0</v>
      </c>
      <c r="O10" s="17">
        <v>0</v>
      </c>
      <c r="P10" s="17">
        <v>16.38</v>
      </c>
      <c r="R10" s="17">
        <v>6.16</v>
      </c>
      <c r="S10" s="17">
        <v>3.89</v>
      </c>
      <c r="T10" s="17">
        <v>0</v>
      </c>
      <c r="U10" s="17">
        <v>0</v>
      </c>
      <c r="V10" s="17">
        <v>0</v>
      </c>
      <c r="W10" s="17">
        <v>0</v>
      </c>
      <c r="X10" s="17">
        <v>10.050000000000001</v>
      </c>
      <c r="Z10" s="17">
        <v>2.46</v>
      </c>
      <c r="AA10" s="17">
        <v>1.26</v>
      </c>
      <c r="AB10" s="17">
        <v>11.56</v>
      </c>
      <c r="AC10" s="17">
        <v>4.09</v>
      </c>
      <c r="AD10" s="17">
        <v>0</v>
      </c>
      <c r="AE10" s="17">
        <v>0</v>
      </c>
      <c r="AF10" s="17">
        <v>19.37</v>
      </c>
      <c r="AH10" s="17">
        <v>3.36</v>
      </c>
      <c r="AI10" s="17">
        <v>1.93</v>
      </c>
      <c r="AJ10" s="17">
        <v>7.54</v>
      </c>
      <c r="AK10" s="17">
        <v>2.67</v>
      </c>
      <c r="AL10" s="17">
        <v>0.14000000000000001</v>
      </c>
      <c r="AM10" s="17">
        <v>0.16</v>
      </c>
      <c r="AN10" s="17">
        <v>15.81</v>
      </c>
    </row>
    <row r="11" spans="1:41" x14ac:dyDescent="0.25">
      <c r="A11" s="21" t="s">
        <v>127</v>
      </c>
      <c r="B11">
        <f t="shared" si="0"/>
        <v>2.91</v>
      </c>
      <c r="C11">
        <f t="shared" si="0"/>
        <v>0.19</v>
      </c>
      <c r="D11">
        <f t="shared" si="0"/>
        <v>2.76</v>
      </c>
      <c r="E11">
        <f t="shared" si="0"/>
        <v>0.56000000000000005</v>
      </c>
      <c r="F11">
        <f t="shared" si="0"/>
        <v>0</v>
      </c>
      <c r="G11">
        <f t="shared" si="0"/>
        <v>0</v>
      </c>
      <c r="H11">
        <f t="shared" si="0"/>
        <v>6.42</v>
      </c>
      <c r="I11" s="21"/>
      <c r="J11" s="17">
        <v>2.91</v>
      </c>
      <c r="K11" s="17">
        <v>0.19</v>
      </c>
      <c r="L11" s="17">
        <v>2.76</v>
      </c>
      <c r="M11" s="17">
        <v>0.56000000000000005</v>
      </c>
      <c r="N11" s="17">
        <v>0</v>
      </c>
      <c r="O11" s="17">
        <v>0</v>
      </c>
      <c r="P11" s="17">
        <v>6.42</v>
      </c>
      <c r="R11" s="17">
        <v>5.35</v>
      </c>
      <c r="S11" s="17">
        <v>3.37</v>
      </c>
      <c r="T11" s="17">
        <v>0</v>
      </c>
      <c r="U11" s="17">
        <v>0</v>
      </c>
      <c r="V11" s="17">
        <v>0</v>
      </c>
      <c r="W11" s="17">
        <v>0</v>
      </c>
      <c r="X11" s="17">
        <v>8.7200000000000006</v>
      </c>
      <c r="Z11" s="17">
        <v>1.21</v>
      </c>
      <c r="AA11" s="17">
        <v>0.59</v>
      </c>
      <c r="AB11" s="17">
        <v>4.41</v>
      </c>
      <c r="AC11" s="17">
        <v>1.81</v>
      </c>
      <c r="AD11" s="17">
        <v>0</v>
      </c>
      <c r="AE11" s="17">
        <v>0</v>
      </c>
      <c r="AF11" s="17">
        <v>8.02</v>
      </c>
      <c r="AH11" s="17">
        <v>2.3199999999999998</v>
      </c>
      <c r="AI11" s="17">
        <v>1.35</v>
      </c>
      <c r="AJ11" s="17">
        <v>2.88</v>
      </c>
      <c r="AK11" s="17">
        <v>1.18</v>
      </c>
      <c r="AL11" s="17">
        <v>0.2</v>
      </c>
      <c r="AM11" s="17">
        <v>0.33</v>
      </c>
      <c r="AN11" s="17">
        <v>8.25</v>
      </c>
    </row>
    <row r="12" spans="1:41" x14ac:dyDescent="0.25">
      <c r="A12" s="16" t="s">
        <v>37</v>
      </c>
      <c r="B12" s="2">
        <f t="shared" si="0"/>
        <v>2.25</v>
      </c>
      <c r="C12" s="2">
        <f t="shared" si="0"/>
        <v>0.28999999999999998</v>
      </c>
      <c r="D12" s="2">
        <f t="shared" si="0"/>
        <v>0.38</v>
      </c>
      <c r="E12" s="2">
        <f t="shared" si="0"/>
        <v>0.14000000000000001</v>
      </c>
      <c r="F12" s="2">
        <f t="shared" si="0"/>
        <v>0.21</v>
      </c>
      <c r="G12" s="2">
        <f t="shared" si="0"/>
        <v>0.04</v>
      </c>
      <c r="H12" s="2">
        <f t="shared" si="0"/>
        <v>3.32</v>
      </c>
      <c r="I12" s="16"/>
      <c r="J12" s="73">
        <v>2.25</v>
      </c>
      <c r="K12" s="73">
        <v>0.28999999999999998</v>
      </c>
      <c r="L12" s="73">
        <v>0.38</v>
      </c>
      <c r="M12" s="73">
        <v>0.14000000000000001</v>
      </c>
      <c r="N12" s="73">
        <v>0.21</v>
      </c>
      <c r="O12" s="73">
        <v>0.04</v>
      </c>
      <c r="P12" s="73">
        <v>3.32</v>
      </c>
      <c r="R12" s="73">
        <v>5.51</v>
      </c>
      <c r="S12" s="73">
        <v>2.8</v>
      </c>
      <c r="T12" s="73">
        <v>0</v>
      </c>
      <c r="U12" s="73">
        <v>0</v>
      </c>
      <c r="V12" s="73">
        <v>0</v>
      </c>
      <c r="W12" s="73">
        <v>0</v>
      </c>
      <c r="X12" s="73">
        <v>8.31</v>
      </c>
      <c r="Z12" s="73">
        <v>0.43</v>
      </c>
      <c r="AA12" s="73">
        <v>0.15</v>
      </c>
      <c r="AB12" s="73">
        <v>0.8</v>
      </c>
      <c r="AC12" s="73">
        <v>0.21</v>
      </c>
      <c r="AD12" s="73">
        <v>0</v>
      </c>
      <c r="AE12" s="73">
        <v>0</v>
      </c>
      <c r="AF12" s="73">
        <v>1.59</v>
      </c>
      <c r="AH12" s="73">
        <v>1.85</v>
      </c>
      <c r="AI12" s="73">
        <v>0.9</v>
      </c>
      <c r="AJ12" s="73">
        <v>0.52</v>
      </c>
      <c r="AK12" s="73">
        <v>0.13</v>
      </c>
      <c r="AL12" s="73">
        <v>0.72</v>
      </c>
      <c r="AM12" s="73">
        <v>0.84</v>
      </c>
      <c r="AN12" s="73">
        <v>4.97</v>
      </c>
    </row>
    <row r="13" spans="1:41" x14ac:dyDescent="0.25">
      <c r="A13" s="21" t="s">
        <v>60</v>
      </c>
      <c r="B13">
        <f t="shared" ref="B13:G13" si="1">IF($B$3=1,J13,IF($B$3=2,R13,IF($B$3=3,Z13,IF($B$3=4,AH13,""))))</f>
        <v>55.21</v>
      </c>
      <c r="C13">
        <f t="shared" si="1"/>
        <v>3.57</v>
      </c>
      <c r="D13">
        <f t="shared" si="1"/>
        <v>36.020000000000003</v>
      </c>
      <c r="E13">
        <f t="shared" si="1"/>
        <v>4.41</v>
      </c>
      <c r="F13">
        <f t="shared" si="1"/>
        <v>0.57999999999999996</v>
      </c>
      <c r="G13">
        <f t="shared" si="1"/>
        <v>0.22</v>
      </c>
      <c r="I13" s="21"/>
      <c r="J13" s="17">
        <v>55.21</v>
      </c>
      <c r="K13" s="17">
        <v>3.57</v>
      </c>
      <c r="L13" s="17">
        <v>36.020000000000003</v>
      </c>
      <c r="M13" s="17">
        <v>4.41</v>
      </c>
      <c r="N13" s="17">
        <v>0.57999999999999996</v>
      </c>
      <c r="O13" s="17">
        <v>0.22</v>
      </c>
      <c r="P13">
        <f>SUM(J13:O13)</f>
        <v>100.01</v>
      </c>
      <c r="Q13">
        <f>SUM(P7:P12)</f>
        <v>100</v>
      </c>
      <c r="R13" s="17">
        <v>77.349999999999994</v>
      </c>
      <c r="S13" s="17">
        <v>22.65</v>
      </c>
      <c r="T13" s="17">
        <v>0</v>
      </c>
      <c r="U13" s="17">
        <v>0</v>
      </c>
      <c r="V13" s="17">
        <v>0</v>
      </c>
      <c r="W13" s="17">
        <v>0</v>
      </c>
      <c r="X13">
        <f>SUM(R13:W13)</f>
        <v>100</v>
      </c>
      <c r="Y13">
        <f>SUM(X7:X12)</f>
        <v>100</v>
      </c>
      <c r="Z13" s="17">
        <v>19.03</v>
      </c>
      <c r="AA13" s="17">
        <v>3.41</v>
      </c>
      <c r="AB13" s="17">
        <v>67.849999999999994</v>
      </c>
      <c r="AC13" s="17">
        <v>9.6999999999999993</v>
      </c>
      <c r="AD13" s="17">
        <v>0</v>
      </c>
      <c r="AE13" s="17">
        <v>0</v>
      </c>
      <c r="AF13">
        <f>SUM(Z13:AE13)</f>
        <v>99.99</v>
      </c>
      <c r="AG13">
        <f>SUM(AF7:AF12)</f>
        <v>100.00000000000001</v>
      </c>
      <c r="AH13" s="17">
        <v>34.5</v>
      </c>
      <c r="AI13" s="17">
        <v>8.6999999999999993</v>
      </c>
      <c r="AJ13" s="17">
        <v>44.25</v>
      </c>
      <c r="AK13" s="17">
        <v>6.33</v>
      </c>
      <c r="AL13" s="17">
        <v>3.43</v>
      </c>
      <c r="AM13" s="17">
        <v>2.8</v>
      </c>
      <c r="AN13">
        <f>SUM(AH13:AM13)</f>
        <v>100.01</v>
      </c>
      <c r="AO13">
        <f>SUM(AN7:AN12)</f>
        <v>100.01</v>
      </c>
    </row>
    <row r="14" spans="1:41" x14ac:dyDescent="0.25">
      <c r="A14" s="21" t="s">
        <v>139</v>
      </c>
      <c r="B14" s="6">
        <f t="shared" ref="B14:G14" si="2">IF(B10=0,0,B10*B20/SUM(B20:B21))</f>
        <v>4.1050675675675672</v>
      </c>
      <c r="C14" s="6">
        <f t="shared" si="2"/>
        <v>0.42749999999999999</v>
      </c>
      <c r="D14" s="6">
        <f t="shared" si="2"/>
        <v>9.1937411095305812</v>
      </c>
      <c r="E14" s="6">
        <f t="shared" si="2"/>
        <v>1.5057692307692307</v>
      </c>
      <c r="F14" s="6">
        <f t="shared" si="2"/>
        <v>0</v>
      </c>
      <c r="G14" s="6">
        <f t="shared" si="2"/>
        <v>0</v>
      </c>
      <c r="I14" s="21"/>
      <c r="J14" s="21"/>
      <c r="K14" s="21"/>
      <c r="L14" s="21"/>
      <c r="M14" s="21"/>
      <c r="N14" s="21"/>
      <c r="O14" s="21"/>
      <c r="P14" s="21"/>
      <c r="Q14" s="21"/>
      <c r="R14" s="21"/>
      <c r="S14" s="21"/>
      <c r="T14" s="21"/>
      <c r="U14" s="21"/>
      <c r="V14" s="21"/>
      <c r="W14" s="21"/>
      <c r="X14" s="21"/>
      <c r="Y14" s="21"/>
      <c r="Z14" s="21"/>
      <c r="AA14" s="21"/>
      <c r="AB14" s="21"/>
      <c r="AC14" s="21"/>
      <c r="AD14" s="21"/>
      <c r="AE14" s="21"/>
    </row>
    <row r="15" spans="1:41" x14ac:dyDescent="0.25">
      <c r="A15" s="21" t="s">
        <v>140</v>
      </c>
      <c r="B15" s="6">
        <f t="shared" ref="B15:G15" si="3">B10-B14</f>
        <v>0.24493243243243246</v>
      </c>
      <c r="C15" s="6">
        <f t="shared" si="3"/>
        <v>0.20250000000000001</v>
      </c>
      <c r="D15" s="6">
        <f t="shared" si="3"/>
        <v>0.40625889046941843</v>
      </c>
      <c r="E15" s="6">
        <f t="shared" si="3"/>
        <v>0.2942307692307693</v>
      </c>
      <c r="F15" s="6">
        <f t="shared" si="3"/>
        <v>0</v>
      </c>
      <c r="G15" s="6">
        <f t="shared" si="3"/>
        <v>0</v>
      </c>
      <c r="I15" s="21"/>
      <c r="J15" s="21"/>
      <c r="K15" s="21"/>
      <c r="L15" s="21"/>
      <c r="M15" s="21"/>
      <c r="N15" s="21"/>
      <c r="O15" s="21"/>
      <c r="P15" s="21"/>
      <c r="Q15" s="21"/>
      <c r="R15" s="21"/>
      <c r="S15" s="21"/>
      <c r="T15" s="21"/>
      <c r="U15" s="21"/>
      <c r="V15" s="21"/>
      <c r="W15" s="21"/>
      <c r="X15" s="21"/>
      <c r="Y15" s="21"/>
      <c r="Z15" s="21"/>
      <c r="AA15" s="21"/>
      <c r="AB15" s="21"/>
      <c r="AC15" s="21"/>
      <c r="AD15" s="21"/>
      <c r="AE15" s="21"/>
    </row>
    <row r="17" spans="1:41" x14ac:dyDescent="0.25">
      <c r="B17" s="117" t="s">
        <v>137</v>
      </c>
      <c r="C17" s="117"/>
      <c r="D17" s="117"/>
      <c r="E17" s="117"/>
      <c r="F17" s="117"/>
      <c r="G17" s="117"/>
      <c r="H17" s="117"/>
      <c r="J17" s="117" t="s">
        <v>131</v>
      </c>
      <c r="K17" s="117"/>
      <c r="L17" s="117"/>
      <c r="M17" s="117"/>
      <c r="N17" s="117"/>
      <c r="O17" s="117"/>
      <c r="P17" s="117"/>
      <c r="R17" s="117" t="s">
        <v>133</v>
      </c>
      <c r="S17" s="117"/>
      <c r="T17" s="117"/>
      <c r="U17" s="117"/>
      <c r="V17" s="117"/>
      <c r="W17" s="117"/>
      <c r="X17" s="117"/>
      <c r="Z17" s="117" t="s">
        <v>135</v>
      </c>
      <c r="AA17" s="117"/>
      <c r="AB17" s="117"/>
      <c r="AC17" s="117"/>
      <c r="AD17" s="117"/>
      <c r="AE17" s="117"/>
      <c r="AF17" s="117"/>
      <c r="AH17" s="117" t="s">
        <v>270</v>
      </c>
      <c r="AI17" s="117"/>
      <c r="AJ17" s="117"/>
      <c r="AK17" s="117"/>
      <c r="AL17" s="117"/>
      <c r="AM17" s="117"/>
      <c r="AN17" s="117"/>
    </row>
    <row r="19" spans="1:41" x14ac:dyDescent="0.25">
      <c r="A19" t="str">
        <f t="shared" ref="A19:A25" si="4">A7</f>
        <v>without HI</v>
      </c>
      <c r="B19">
        <f t="shared" ref="B19:H24" si="5">IF($B$3=1,J19,IF($B$3=2,R19,IF($B$3=3,Z19,IF($B$3=4,AH19,""))))</f>
        <v>6.75</v>
      </c>
      <c r="C19">
        <f t="shared" si="5"/>
        <v>0.76</v>
      </c>
      <c r="D19">
        <f t="shared" si="5"/>
        <v>2.74</v>
      </c>
      <c r="E19">
        <f t="shared" si="5"/>
        <v>0.47</v>
      </c>
      <c r="F19">
        <f t="shared" si="5"/>
        <v>0.2</v>
      </c>
      <c r="G19">
        <f t="shared" si="5"/>
        <v>0.1</v>
      </c>
      <c r="H19">
        <f t="shared" si="5"/>
        <v>11.03</v>
      </c>
      <c r="J19" s="17">
        <v>6.75</v>
      </c>
      <c r="K19" s="17">
        <v>0.76</v>
      </c>
      <c r="L19" s="17">
        <v>2.74</v>
      </c>
      <c r="M19" s="17">
        <v>0.47</v>
      </c>
      <c r="N19" s="17">
        <v>0.2</v>
      </c>
      <c r="O19" s="17">
        <v>0.1</v>
      </c>
      <c r="P19" s="17">
        <v>11.03</v>
      </c>
      <c r="R19" s="17">
        <v>19.71</v>
      </c>
      <c r="S19" s="17">
        <v>6.84</v>
      </c>
      <c r="T19" s="17">
        <v>0</v>
      </c>
      <c r="U19" s="17">
        <v>0</v>
      </c>
      <c r="V19" s="17">
        <v>0</v>
      </c>
      <c r="W19" s="17">
        <v>0</v>
      </c>
      <c r="X19" s="17">
        <v>26.55</v>
      </c>
      <c r="Z19" s="17">
        <v>1.61</v>
      </c>
      <c r="AA19" s="17">
        <v>0.41</v>
      </c>
      <c r="AB19" s="17">
        <v>3.55</v>
      </c>
      <c r="AC19" s="17">
        <v>0.71</v>
      </c>
      <c r="AD19" s="17">
        <v>0</v>
      </c>
      <c r="AE19" s="17">
        <v>0</v>
      </c>
      <c r="AF19" s="17">
        <v>6.28</v>
      </c>
      <c r="AH19" s="17">
        <v>5.76</v>
      </c>
      <c r="AI19" s="17">
        <v>1.89</v>
      </c>
      <c r="AJ19" s="17">
        <v>2.6</v>
      </c>
      <c r="AK19" s="17">
        <v>0.52</v>
      </c>
      <c r="AL19" s="17">
        <v>1.1100000000000001</v>
      </c>
      <c r="AM19" s="17">
        <v>0.51</v>
      </c>
      <c r="AN19" s="17">
        <v>12.41</v>
      </c>
    </row>
    <row r="20" spans="1:41" x14ac:dyDescent="0.25">
      <c r="A20" t="str">
        <f t="shared" si="4"/>
        <v>own ESI</v>
      </c>
      <c r="B20">
        <f t="shared" si="5"/>
        <v>25.14</v>
      </c>
      <c r="C20">
        <f t="shared" si="5"/>
        <v>0.56999999999999995</v>
      </c>
      <c r="D20">
        <f t="shared" si="5"/>
        <v>26.93</v>
      </c>
      <c r="E20">
        <f t="shared" si="5"/>
        <v>1.74</v>
      </c>
      <c r="F20">
        <f t="shared" si="5"/>
        <v>0.09</v>
      </c>
      <c r="G20">
        <f t="shared" si="5"/>
        <v>0</v>
      </c>
      <c r="H20">
        <f t="shared" si="5"/>
        <v>54.46</v>
      </c>
      <c r="J20" s="17">
        <v>25.14</v>
      </c>
      <c r="K20" s="17">
        <v>0.56999999999999995</v>
      </c>
      <c r="L20" s="17">
        <v>26.93</v>
      </c>
      <c r="M20" s="17">
        <v>1.74</v>
      </c>
      <c r="N20" s="17">
        <v>0.09</v>
      </c>
      <c r="O20" s="17">
        <v>0</v>
      </c>
      <c r="P20" s="17">
        <v>54.46</v>
      </c>
      <c r="R20" s="17">
        <v>35.74</v>
      </c>
      <c r="S20" s="17">
        <v>3.48</v>
      </c>
      <c r="T20" s="17">
        <v>0</v>
      </c>
      <c r="U20" s="17">
        <v>0</v>
      </c>
      <c r="V20" s="17">
        <v>0</v>
      </c>
      <c r="W20" s="17">
        <v>0</v>
      </c>
      <c r="X20" s="17">
        <v>39.229999999999997</v>
      </c>
      <c r="Z20" s="17">
        <v>9.64</v>
      </c>
      <c r="AA20" s="17">
        <v>0.6</v>
      </c>
      <c r="AB20" s="17">
        <v>44.3</v>
      </c>
      <c r="AC20" s="17">
        <v>2.44</v>
      </c>
      <c r="AD20" s="17">
        <v>0</v>
      </c>
      <c r="AE20" s="17">
        <v>0</v>
      </c>
      <c r="AF20" s="17">
        <v>56.98</v>
      </c>
      <c r="AH20" s="17">
        <v>15.39</v>
      </c>
      <c r="AI20" s="17">
        <v>1.25</v>
      </c>
      <c r="AJ20" s="17">
        <v>32.53</v>
      </c>
      <c r="AK20" s="17">
        <v>1.79</v>
      </c>
      <c r="AL20" s="17">
        <v>0.41</v>
      </c>
      <c r="AM20" s="17">
        <v>0.09</v>
      </c>
      <c r="AN20" s="17">
        <v>51.46</v>
      </c>
    </row>
    <row r="21" spans="1:41" x14ac:dyDescent="0.25">
      <c r="A21" t="str">
        <f t="shared" si="4"/>
        <v>own other private coverage</v>
      </c>
      <c r="B21">
        <f t="shared" si="5"/>
        <v>1.5</v>
      </c>
      <c r="C21">
        <f t="shared" si="5"/>
        <v>0.27</v>
      </c>
      <c r="D21">
        <f t="shared" si="5"/>
        <v>1.19</v>
      </c>
      <c r="E21">
        <f t="shared" si="5"/>
        <v>0.34</v>
      </c>
      <c r="F21">
        <f t="shared" si="5"/>
        <v>0</v>
      </c>
      <c r="G21">
        <f t="shared" si="5"/>
        <v>0</v>
      </c>
      <c r="H21">
        <f t="shared" si="5"/>
        <v>3.29</v>
      </c>
      <c r="J21" s="17">
        <v>1.5</v>
      </c>
      <c r="K21" s="17">
        <v>0.27</v>
      </c>
      <c r="L21" s="17">
        <v>1.19</v>
      </c>
      <c r="M21" s="17">
        <v>0.34</v>
      </c>
      <c r="N21" s="17">
        <v>0</v>
      </c>
      <c r="O21" s="17">
        <v>0</v>
      </c>
      <c r="P21" s="17">
        <v>3.29</v>
      </c>
      <c r="R21" s="17">
        <v>3.03</v>
      </c>
      <c r="S21" s="17">
        <v>1.41</v>
      </c>
      <c r="T21" s="17">
        <v>0</v>
      </c>
      <c r="U21" s="17">
        <v>0</v>
      </c>
      <c r="V21" s="17">
        <v>0</v>
      </c>
      <c r="W21" s="17">
        <v>0</v>
      </c>
      <c r="X21" s="17">
        <v>4.4400000000000004</v>
      </c>
      <c r="Z21" s="17">
        <v>0.55000000000000004</v>
      </c>
      <c r="AA21" s="17">
        <v>0.24</v>
      </c>
      <c r="AB21" s="17">
        <v>2.29</v>
      </c>
      <c r="AC21" s="17">
        <v>0.71</v>
      </c>
      <c r="AD21" s="17">
        <v>0</v>
      </c>
      <c r="AE21" s="17">
        <v>0</v>
      </c>
      <c r="AF21" s="17">
        <v>3.8</v>
      </c>
      <c r="AH21" s="17">
        <v>1.1100000000000001</v>
      </c>
      <c r="AI21" s="17">
        <v>0.5</v>
      </c>
      <c r="AJ21" s="17">
        <v>1.68</v>
      </c>
      <c r="AK21" s="17">
        <v>0.52</v>
      </c>
      <c r="AL21" s="17">
        <v>7.0000000000000007E-2</v>
      </c>
      <c r="AM21" s="17">
        <v>0.04</v>
      </c>
      <c r="AN21" s="17">
        <v>3.93</v>
      </c>
    </row>
    <row r="22" spans="1:41" x14ac:dyDescent="0.25">
      <c r="A22" t="str">
        <f t="shared" si="4"/>
        <v>coverage through family</v>
      </c>
      <c r="B22">
        <f t="shared" si="5"/>
        <v>5.57</v>
      </c>
      <c r="C22">
        <f t="shared" si="5"/>
        <v>0.89</v>
      </c>
      <c r="D22">
        <f t="shared" si="5"/>
        <v>13.91</v>
      </c>
      <c r="E22">
        <f t="shared" si="5"/>
        <v>2.66</v>
      </c>
      <c r="F22">
        <f t="shared" si="5"/>
        <v>0</v>
      </c>
      <c r="G22">
        <f t="shared" si="5"/>
        <v>0</v>
      </c>
      <c r="H22">
        <f t="shared" si="5"/>
        <v>23.04</v>
      </c>
      <c r="J22" s="17">
        <v>5.57</v>
      </c>
      <c r="K22" s="17">
        <v>0.89</v>
      </c>
      <c r="L22" s="17">
        <v>13.91</v>
      </c>
      <c r="M22" s="17">
        <v>2.66</v>
      </c>
      <c r="N22" s="17">
        <v>0</v>
      </c>
      <c r="O22" s="17">
        <v>0</v>
      </c>
      <c r="P22" s="17">
        <v>23.04</v>
      </c>
      <c r="R22" s="17">
        <v>9.69</v>
      </c>
      <c r="S22" s="17">
        <v>6.23</v>
      </c>
      <c r="T22" s="17">
        <v>0</v>
      </c>
      <c r="U22" s="17">
        <v>0</v>
      </c>
      <c r="V22" s="17">
        <v>0</v>
      </c>
      <c r="W22" s="17">
        <v>0</v>
      </c>
      <c r="X22" s="17">
        <v>15.93</v>
      </c>
      <c r="Z22" s="17">
        <v>3.06</v>
      </c>
      <c r="AA22" s="17">
        <v>1.62</v>
      </c>
      <c r="AB22" s="17">
        <v>14.9</v>
      </c>
      <c r="AC22" s="17">
        <v>5.3</v>
      </c>
      <c r="AD22" s="17">
        <v>0</v>
      </c>
      <c r="AE22" s="17">
        <v>0</v>
      </c>
      <c r="AF22" s="17">
        <v>24.88</v>
      </c>
      <c r="AH22" s="17">
        <v>4.5</v>
      </c>
      <c r="AI22" s="17">
        <v>2.64</v>
      </c>
      <c r="AJ22" s="17">
        <v>10.94</v>
      </c>
      <c r="AK22" s="17">
        <v>3.89</v>
      </c>
      <c r="AL22" s="17">
        <v>0.11</v>
      </c>
      <c r="AM22" s="17">
        <v>0.08</v>
      </c>
      <c r="AN22" s="17">
        <v>22.16</v>
      </c>
    </row>
    <row r="23" spans="1:41" x14ac:dyDescent="0.25">
      <c r="A23" t="str">
        <f t="shared" si="4"/>
        <v>working elderly or working age&lt;26</v>
      </c>
      <c r="B23">
        <f t="shared" si="5"/>
        <v>0.87</v>
      </c>
      <c r="C23">
        <f t="shared" si="5"/>
        <v>0.14000000000000001</v>
      </c>
      <c r="D23">
        <f t="shared" si="5"/>
        <v>3.09</v>
      </c>
      <c r="E23">
        <f t="shared" si="5"/>
        <v>0.54</v>
      </c>
      <c r="F23">
        <f t="shared" si="5"/>
        <v>0</v>
      </c>
      <c r="G23">
        <f t="shared" si="5"/>
        <v>0</v>
      </c>
      <c r="H23">
        <f t="shared" si="5"/>
        <v>4.6399999999999997</v>
      </c>
      <c r="J23" s="17">
        <v>0.87</v>
      </c>
      <c r="K23" s="17">
        <v>0.14000000000000001</v>
      </c>
      <c r="L23" s="17">
        <v>3.09</v>
      </c>
      <c r="M23" s="17">
        <v>0.54</v>
      </c>
      <c r="N23" s="17">
        <v>0</v>
      </c>
      <c r="O23" s="17">
        <v>0</v>
      </c>
      <c r="P23" s="17">
        <v>4.6399999999999997</v>
      </c>
      <c r="R23" s="17">
        <v>2.5</v>
      </c>
      <c r="S23" s="17">
        <v>2.21</v>
      </c>
      <c r="T23" s="17">
        <v>0</v>
      </c>
      <c r="U23" s="17">
        <v>0</v>
      </c>
      <c r="V23" s="17">
        <v>0</v>
      </c>
      <c r="W23" s="17">
        <v>0</v>
      </c>
      <c r="X23" s="17">
        <v>4.71</v>
      </c>
      <c r="Z23" s="17">
        <v>0.61</v>
      </c>
      <c r="AA23" s="17">
        <v>0.46</v>
      </c>
      <c r="AB23" s="17">
        <v>3.69</v>
      </c>
      <c r="AC23" s="17">
        <v>1.76</v>
      </c>
      <c r="AD23" s="17">
        <v>0</v>
      </c>
      <c r="AE23" s="17">
        <v>0</v>
      </c>
      <c r="AF23" s="17">
        <v>6.52</v>
      </c>
      <c r="AH23" s="17">
        <v>1.03</v>
      </c>
      <c r="AI23" s="17">
        <v>0.85</v>
      </c>
      <c r="AJ23" s="17">
        <v>2.71</v>
      </c>
      <c r="AK23" s="17">
        <v>1.29</v>
      </c>
      <c r="AL23" s="17">
        <v>0.03</v>
      </c>
      <c r="AM23" s="17">
        <v>0.06</v>
      </c>
      <c r="AN23" s="17">
        <v>5.97</v>
      </c>
    </row>
    <row r="24" spans="1:41" x14ac:dyDescent="0.25">
      <c r="A24" s="2" t="str">
        <f t="shared" si="4"/>
        <v>with Medicaid</v>
      </c>
      <c r="B24" s="2">
        <f t="shared" si="5"/>
        <v>2.4</v>
      </c>
      <c r="C24" s="2">
        <f t="shared" si="5"/>
        <v>0.3</v>
      </c>
      <c r="D24" s="2">
        <f t="shared" si="5"/>
        <v>0.51</v>
      </c>
      <c r="E24" s="2">
        <f t="shared" si="5"/>
        <v>0.11</v>
      </c>
      <c r="F24" s="2">
        <f t="shared" si="5"/>
        <v>0.22</v>
      </c>
      <c r="G24" s="2">
        <f t="shared" si="5"/>
        <v>0</v>
      </c>
      <c r="H24" s="2">
        <f t="shared" si="5"/>
        <v>3.53</v>
      </c>
      <c r="I24" s="2"/>
      <c r="J24" s="73">
        <v>2.4</v>
      </c>
      <c r="K24" s="73">
        <v>0.3</v>
      </c>
      <c r="L24" s="73">
        <v>0.51</v>
      </c>
      <c r="M24" s="73">
        <v>0.11</v>
      </c>
      <c r="N24" s="73">
        <v>0.22</v>
      </c>
      <c r="O24" s="73">
        <v>0</v>
      </c>
      <c r="P24" s="73">
        <v>3.53</v>
      </c>
      <c r="R24" s="73">
        <v>6.6</v>
      </c>
      <c r="S24" s="73">
        <v>2.5499999999999998</v>
      </c>
      <c r="T24" s="73">
        <v>0</v>
      </c>
      <c r="U24" s="73">
        <v>0</v>
      </c>
      <c r="V24" s="73">
        <v>0</v>
      </c>
      <c r="W24" s="73">
        <v>0</v>
      </c>
      <c r="X24" s="73">
        <v>9.15</v>
      </c>
      <c r="Z24" s="73">
        <v>0.42</v>
      </c>
      <c r="AA24" s="73">
        <v>0.13</v>
      </c>
      <c r="AB24" s="73">
        <v>0.8</v>
      </c>
      <c r="AC24" s="73">
        <v>0.2</v>
      </c>
      <c r="AD24" s="73">
        <v>0</v>
      </c>
      <c r="AE24" s="73">
        <v>0</v>
      </c>
      <c r="AF24" s="73">
        <v>1.54</v>
      </c>
      <c r="AH24" s="73">
        <v>1.84</v>
      </c>
      <c r="AI24" s="73">
        <v>0.69</v>
      </c>
      <c r="AJ24" s="73">
        <v>0.57999999999999996</v>
      </c>
      <c r="AK24" s="73">
        <v>0.15</v>
      </c>
      <c r="AL24" s="73">
        <v>0.47</v>
      </c>
      <c r="AM24" s="73">
        <v>0.34</v>
      </c>
      <c r="AN24" s="73">
        <v>4.07</v>
      </c>
    </row>
    <row r="25" spans="1:41" x14ac:dyDescent="0.25">
      <c r="A25" t="str">
        <f t="shared" si="4"/>
        <v>TOTAL</v>
      </c>
      <c r="B25">
        <f t="shared" ref="B25:G25" si="6">IF($B$3=1,J25,IF($B$3=2,R25,IF($B$3=3,Z25,IF($B$3=4,AH25,""))))</f>
        <v>42.24</v>
      </c>
      <c r="C25">
        <f t="shared" si="6"/>
        <v>2.93</v>
      </c>
      <c r="D25">
        <f t="shared" si="6"/>
        <v>48.37</v>
      </c>
      <c r="E25">
        <f t="shared" si="6"/>
        <v>5.85</v>
      </c>
      <c r="F25">
        <f t="shared" si="6"/>
        <v>0.51</v>
      </c>
      <c r="G25">
        <f t="shared" si="6"/>
        <v>0.1</v>
      </c>
      <c r="J25" s="17">
        <v>42.24</v>
      </c>
      <c r="K25" s="17">
        <v>2.93</v>
      </c>
      <c r="L25" s="17">
        <v>48.37</v>
      </c>
      <c r="M25" s="17">
        <v>5.85</v>
      </c>
      <c r="N25" s="17">
        <v>0.51</v>
      </c>
      <c r="O25" s="17">
        <v>0.1</v>
      </c>
      <c r="P25">
        <f>SUM(J25:O25)</f>
        <v>99.999999999999986</v>
      </c>
      <c r="Q25">
        <f>SUM(P19:P24)</f>
        <v>99.99</v>
      </c>
      <c r="R25" s="17">
        <v>77.27</v>
      </c>
      <c r="S25" s="17">
        <v>22.73</v>
      </c>
      <c r="T25" s="17">
        <v>0</v>
      </c>
      <c r="U25" s="17">
        <v>0</v>
      </c>
      <c r="V25" s="17">
        <v>0</v>
      </c>
      <c r="W25" s="17">
        <v>0</v>
      </c>
      <c r="X25">
        <f>SUM(R25:W25)</f>
        <v>100</v>
      </c>
      <c r="Y25">
        <f>SUM(X19:X24)</f>
        <v>100.01</v>
      </c>
      <c r="Z25" s="17">
        <v>15.88</v>
      </c>
      <c r="AA25" s="17">
        <v>3.46</v>
      </c>
      <c r="AB25" s="17">
        <v>69.53</v>
      </c>
      <c r="AC25" s="17">
        <v>11.13</v>
      </c>
      <c r="AD25" s="17">
        <v>0</v>
      </c>
      <c r="AE25" s="17">
        <v>0</v>
      </c>
      <c r="AF25">
        <f>SUM(Z25:AE25)</f>
        <v>100</v>
      </c>
      <c r="AG25">
        <f>SUM(AF19:AF24)</f>
        <v>100</v>
      </c>
      <c r="AH25" s="17">
        <v>29.63</v>
      </c>
      <c r="AI25" s="17">
        <v>7.83</v>
      </c>
      <c r="AJ25" s="17">
        <v>51.05</v>
      </c>
      <c r="AK25" s="17">
        <v>8.17</v>
      </c>
      <c r="AL25" s="17">
        <v>2.2000000000000002</v>
      </c>
      <c r="AM25" s="17">
        <v>1.1200000000000001</v>
      </c>
      <c r="AN25">
        <f>SUM(AH25:AM25)</f>
        <v>100</v>
      </c>
      <c r="AO25">
        <f>SUM(AN19:AN24)</f>
        <v>100</v>
      </c>
    </row>
    <row r="28" spans="1:41" x14ac:dyDescent="0.25">
      <c r="A28" s="40" t="s">
        <v>144</v>
      </c>
      <c r="B28" s="117" t="s">
        <v>136</v>
      </c>
      <c r="C28" s="117"/>
      <c r="D28" s="117"/>
      <c r="E28" s="117"/>
      <c r="F28" s="117"/>
      <c r="G28" s="117"/>
      <c r="H28" s="117"/>
    </row>
    <row r="29" spans="1:41" x14ac:dyDescent="0.25">
      <c r="A29" s="40"/>
      <c r="B29" s="58"/>
      <c r="C29" s="58"/>
      <c r="D29" s="58"/>
      <c r="E29" s="58"/>
      <c r="F29" s="58"/>
      <c r="G29" s="58"/>
      <c r="H29" s="58"/>
    </row>
    <row r="30" spans="1:41" x14ac:dyDescent="0.25">
      <c r="A30" t="str">
        <f>A7</f>
        <v>without HI</v>
      </c>
      <c r="B30" s="6">
        <f>B7*(1-Parameters!$B$35)</f>
        <v>4.3150000000000004</v>
      </c>
      <c r="C30" s="6">
        <f>C7*(1-Parameters!$B$35)</f>
        <v>0.56499999999999995</v>
      </c>
      <c r="D30" s="6">
        <f>D7*(1-Parameters!$B$35)</f>
        <v>1.125</v>
      </c>
      <c r="E30" s="6">
        <f>E7*(1-Parameters!$B$35)</f>
        <v>0.185</v>
      </c>
      <c r="F30" s="6">
        <f>F7*(1-Parameters!$B$35)</f>
        <v>0.14499999999999999</v>
      </c>
      <c r="G30" s="6">
        <f>G7*(1-Parameters!$B$35)</f>
        <v>7.4999999999999997E-2</v>
      </c>
      <c r="H30" s="6">
        <f t="shared" ref="H30:H37" si="7">SUM(B30:G30)</f>
        <v>6.41</v>
      </c>
    </row>
    <row r="31" spans="1:41" x14ac:dyDescent="0.25">
      <c r="A31" t="str">
        <f>A8</f>
        <v>own ESI</v>
      </c>
      <c r="B31" s="6">
        <f>B8*(1+Parameters!$B$18)</f>
        <v>31.509</v>
      </c>
      <c r="C31" s="6">
        <f>C8*(1+Parameters!$B$18)</f>
        <v>0.9</v>
      </c>
      <c r="D31" s="6">
        <f>D8*(1+$B$50)</f>
        <v>20.466858806404659</v>
      </c>
      <c r="E31" s="6">
        <f>E8*(1+$B$50)</f>
        <v>1.2664124211547791</v>
      </c>
      <c r="F31" s="6">
        <f>F8*(1+$B$50)</f>
        <v>7.1491023774866574E-2</v>
      </c>
      <c r="G31" s="6">
        <f>G8*(1+$B$50)</f>
        <v>3.063901018922853E-2</v>
      </c>
      <c r="H31" s="6">
        <f t="shared" si="7"/>
        <v>54.244401261523528</v>
      </c>
    </row>
    <row r="32" spans="1:41" x14ac:dyDescent="0.25">
      <c r="A32" t="str">
        <f>A9</f>
        <v>own other private coverage</v>
      </c>
      <c r="B32" s="6">
        <f t="shared" ref="B32:G32" si="8">B37-B30-B31-B33-B34-B35-B36</f>
        <v>10.286506756756761</v>
      </c>
      <c r="C32" s="6">
        <f t="shared" si="8"/>
        <v>1.03775</v>
      </c>
      <c r="D32" s="6">
        <f t="shared" si="8"/>
        <v>1.4923113853913703</v>
      </c>
      <c r="E32" s="6">
        <f t="shared" si="8"/>
        <v>0.42651418280894282</v>
      </c>
      <c r="F32" s="6">
        <f t="shared" si="8"/>
        <v>0.15350897622513335</v>
      </c>
      <c r="G32" s="6">
        <f t="shared" si="8"/>
        <v>7.4360989810771494E-2</v>
      </c>
      <c r="H32" s="6">
        <f t="shared" si="7"/>
        <v>13.470952290992978</v>
      </c>
    </row>
    <row r="33" spans="1:9" x14ac:dyDescent="0.25">
      <c r="A33" t="str">
        <f>A14</f>
        <v>family ESI</v>
      </c>
      <c r="B33" s="6">
        <f>B14*(1+Parameters!$B$18)</f>
        <v>3.6945608108108106</v>
      </c>
      <c r="C33" s="6">
        <f>C14*(1+Parameters!$B$18)</f>
        <v>0.38474999999999998</v>
      </c>
      <c r="D33" s="6">
        <f>D14*(1+$B$50)</f>
        <v>9.3895709177345559</v>
      </c>
      <c r="E33" s="6">
        <f>E14*(1+$B$50)</f>
        <v>1.537842626805509</v>
      </c>
      <c r="F33">
        <f>F14*(1+$B$50)</f>
        <v>0</v>
      </c>
      <c r="G33">
        <f>G14*(1+$B$50)</f>
        <v>0</v>
      </c>
      <c r="H33" s="6">
        <f t="shared" si="7"/>
        <v>15.006724355350874</v>
      </c>
    </row>
    <row r="34" spans="1:9" x14ac:dyDescent="0.25">
      <c r="A34" t="str">
        <f>A15</f>
        <v>family other private</v>
      </c>
      <c r="B34" s="6">
        <f t="shared" ref="B34:G34" si="9">B15</f>
        <v>0.24493243243243246</v>
      </c>
      <c r="C34" s="6">
        <f t="shared" si="9"/>
        <v>0.20250000000000001</v>
      </c>
      <c r="D34" s="6">
        <f t="shared" si="9"/>
        <v>0.40625889046941843</v>
      </c>
      <c r="E34" s="6">
        <f t="shared" si="9"/>
        <v>0.2942307692307693</v>
      </c>
      <c r="F34">
        <f t="shared" si="9"/>
        <v>0</v>
      </c>
      <c r="G34">
        <f t="shared" si="9"/>
        <v>0</v>
      </c>
      <c r="H34" s="6">
        <f t="shared" si="7"/>
        <v>1.1479220921326201</v>
      </c>
    </row>
    <row r="35" spans="1:9" x14ac:dyDescent="0.25">
      <c r="A35" t="str">
        <f t="shared" ref="A35:G36" si="10">A11</f>
        <v>working elderly or working age&lt;26</v>
      </c>
      <c r="B35">
        <f t="shared" si="10"/>
        <v>2.91</v>
      </c>
      <c r="C35">
        <f t="shared" si="10"/>
        <v>0.19</v>
      </c>
      <c r="D35">
        <f t="shared" si="10"/>
        <v>2.76</v>
      </c>
      <c r="E35">
        <f t="shared" si="10"/>
        <v>0.56000000000000005</v>
      </c>
      <c r="F35">
        <f t="shared" si="10"/>
        <v>0</v>
      </c>
      <c r="G35">
        <f t="shared" si="10"/>
        <v>0</v>
      </c>
      <c r="H35" s="6">
        <f t="shared" si="7"/>
        <v>6.42</v>
      </c>
    </row>
    <row r="36" spans="1:9" x14ac:dyDescent="0.25">
      <c r="A36" s="2" t="str">
        <f t="shared" si="10"/>
        <v>with Medicaid</v>
      </c>
      <c r="B36" s="2">
        <f t="shared" si="10"/>
        <v>2.25</v>
      </c>
      <c r="C36" s="2">
        <f t="shared" si="10"/>
        <v>0.28999999999999998</v>
      </c>
      <c r="D36" s="2">
        <f t="shared" si="10"/>
        <v>0.38</v>
      </c>
      <c r="E36" s="2">
        <f t="shared" si="10"/>
        <v>0.14000000000000001</v>
      </c>
      <c r="F36" s="2">
        <f t="shared" si="10"/>
        <v>0.21</v>
      </c>
      <c r="G36" s="2">
        <f t="shared" si="10"/>
        <v>0.04</v>
      </c>
      <c r="H36" s="30">
        <f t="shared" si="7"/>
        <v>3.31</v>
      </c>
    </row>
    <row r="37" spans="1:9" x14ac:dyDescent="0.25">
      <c r="A37" t="s">
        <v>60</v>
      </c>
      <c r="B37">
        <f t="shared" ref="B37:G37" si="11">B13</f>
        <v>55.21</v>
      </c>
      <c r="C37">
        <f t="shared" si="11"/>
        <v>3.57</v>
      </c>
      <c r="D37">
        <f t="shared" si="11"/>
        <v>36.020000000000003</v>
      </c>
      <c r="E37">
        <f t="shared" si="11"/>
        <v>4.41</v>
      </c>
      <c r="F37">
        <f t="shared" si="11"/>
        <v>0.57999999999999996</v>
      </c>
      <c r="G37">
        <f t="shared" si="11"/>
        <v>0.22</v>
      </c>
      <c r="H37">
        <f t="shared" si="7"/>
        <v>100.01</v>
      </c>
      <c r="I37" s="6">
        <f>SUM(H30:H36)</f>
        <v>100.01</v>
      </c>
    </row>
    <row r="39" spans="1:9" x14ac:dyDescent="0.25">
      <c r="A39" s="40" t="s">
        <v>145</v>
      </c>
      <c r="B39" s="117" t="s">
        <v>136</v>
      </c>
      <c r="C39" s="117"/>
      <c r="D39" s="117"/>
      <c r="E39" s="117"/>
      <c r="F39" s="117"/>
      <c r="G39" s="117"/>
      <c r="H39" s="117"/>
    </row>
    <row r="41" spans="1:9" x14ac:dyDescent="0.25">
      <c r="A41" t="str">
        <f>A30</f>
        <v>without HI</v>
      </c>
      <c r="B41" s="6">
        <f>B30*(B$48-B$42)/(B$37-B$31)</f>
        <v>3.8124238428758281</v>
      </c>
      <c r="C41" s="6">
        <f>SUM(B30:C30)-B41</f>
        <v>1.0675761571241726</v>
      </c>
      <c r="D41" s="6">
        <f>IF(D30=0,0,D30*(D$48-D$42)/(D$37-D$31))</f>
        <v>0.99472888789601277</v>
      </c>
      <c r="E41" s="6">
        <f t="shared" ref="C41:E47" si="12">SUM(D30:E30)-D41</f>
        <v>0.31527111210398728</v>
      </c>
      <c r="F41" s="6">
        <f>IF(F30=0,0,F30*(F$48-F$42)/(F$37-F$31))</f>
        <v>0.13673072610986062</v>
      </c>
      <c r="G41" s="6">
        <f>SUM(F30:G30)-F41</f>
        <v>8.3269273890139356E-2</v>
      </c>
      <c r="H41" s="6">
        <f t="shared" ref="H41:H48" si="13">SUM(B41:G41)</f>
        <v>6.410000000000001</v>
      </c>
    </row>
    <row r="42" spans="1:9" x14ac:dyDescent="0.25">
      <c r="A42" t="str">
        <f t="shared" ref="A42:A47" si="14">A31</f>
        <v>own ESI</v>
      </c>
      <c r="B42" s="6">
        <f t="shared" ref="B42:G42" si="15">B31</f>
        <v>31.509</v>
      </c>
      <c r="C42" s="6">
        <f t="shared" si="15"/>
        <v>0.9</v>
      </c>
      <c r="D42" s="6">
        <f t="shared" si="15"/>
        <v>20.466858806404659</v>
      </c>
      <c r="E42" s="6">
        <f t="shared" si="15"/>
        <v>1.2664124211547791</v>
      </c>
      <c r="F42" s="6">
        <f t="shared" si="15"/>
        <v>7.1491023774866574E-2</v>
      </c>
      <c r="G42" s="6">
        <f t="shared" si="15"/>
        <v>3.063901018922853E-2</v>
      </c>
      <c r="H42" s="6">
        <f t="shared" si="13"/>
        <v>54.244401261523528</v>
      </c>
    </row>
    <row r="43" spans="1:9" x14ac:dyDescent="0.25">
      <c r="A43" t="str">
        <f t="shared" si="14"/>
        <v>own other private coverage</v>
      </c>
      <c r="B43" s="6">
        <f t="shared" ref="B43:B47" si="16">B32*(B$48-B$42)/(B$37-B$31)</f>
        <v>9.0884179882648386</v>
      </c>
      <c r="C43" s="6">
        <f t="shared" si="12"/>
        <v>2.2358387684919219</v>
      </c>
      <c r="D43" s="6">
        <f>IF(D32=0,0,D32*(D$48-D$42)/(D$37-D$31))</f>
        <v>1.3195068842532585</v>
      </c>
      <c r="E43" s="6">
        <f t="shared" si="12"/>
        <v>0.59931868394705456</v>
      </c>
      <c r="F43" s="6">
        <f>IF(F32=0,0,F32*(F$48-F$42)/(F$37-F$31))</f>
        <v>0.14475443988719872</v>
      </c>
      <c r="G43" s="6">
        <f t="shared" ref="G43:G48" si="17">SUM(F32:G32)-F43</f>
        <v>8.3115526148706126E-2</v>
      </c>
      <c r="H43" s="6">
        <f t="shared" si="13"/>
        <v>13.470952290992978</v>
      </c>
    </row>
    <row r="44" spans="1:9" x14ac:dyDescent="0.25">
      <c r="A44" t="str">
        <f t="shared" si="14"/>
        <v>family ESI</v>
      </c>
      <c r="B44" s="6">
        <f t="shared" si="16"/>
        <v>3.2642483717473429</v>
      </c>
      <c r="C44" s="6">
        <f t="shared" si="12"/>
        <v>0.81506243906346798</v>
      </c>
      <c r="D44" s="6">
        <f>IF(D33=0,0,D33*(D$48-D$42)/(D$37-D$31))</f>
        <v>8.3022910549500786</v>
      </c>
      <c r="E44" s="6">
        <f t="shared" si="12"/>
        <v>2.6251224895899856</v>
      </c>
      <c r="F44" s="75">
        <f>IF(F33=0,0,F33*(F$48-F$42)/(F$37-F$31))</f>
        <v>0</v>
      </c>
      <c r="G44" s="75">
        <f t="shared" si="17"/>
        <v>0</v>
      </c>
      <c r="H44" s="6">
        <f t="shared" si="13"/>
        <v>15.006724355350874</v>
      </c>
    </row>
    <row r="45" spans="1:9" x14ac:dyDescent="0.25">
      <c r="A45" t="str">
        <f t="shared" si="14"/>
        <v>family other private</v>
      </c>
      <c r="B45" s="6">
        <f t="shared" si="16"/>
        <v>0.2164046918421734</v>
      </c>
      <c r="C45" s="6">
        <f t="shared" si="12"/>
        <v>0.23102774059025907</v>
      </c>
      <c r="D45" s="6">
        <f>IF(D34=0,0,D34*(D$48-D$42)/(D$37-D$31))</f>
        <v>0.35921551494623344</v>
      </c>
      <c r="E45" s="6">
        <f t="shared" si="12"/>
        <v>0.34127414475395429</v>
      </c>
      <c r="F45" s="75">
        <f>IF(F34=0,0,F34*(F$48-F$42)/(F$37-F$31))</f>
        <v>0</v>
      </c>
      <c r="G45" s="75">
        <f t="shared" si="17"/>
        <v>0</v>
      </c>
      <c r="H45" s="6">
        <f t="shared" si="13"/>
        <v>1.1479220921326201</v>
      </c>
    </row>
    <row r="46" spans="1:9" x14ac:dyDescent="0.25">
      <c r="A46" t="str">
        <f t="shared" si="14"/>
        <v>working elderly or working age&lt;26</v>
      </c>
      <c r="B46" s="6">
        <f t="shared" si="16"/>
        <v>2.5710668326230959</v>
      </c>
      <c r="C46" s="6">
        <f t="shared" si="12"/>
        <v>0.52893316737690421</v>
      </c>
      <c r="D46" s="6">
        <f>IF(D35=0,0,D35*(D$48-D$42)/(D$37-D$31))</f>
        <v>2.4404015383048843</v>
      </c>
      <c r="E46" s="6">
        <f t="shared" si="12"/>
        <v>0.87959846169511557</v>
      </c>
      <c r="F46" s="75">
        <f>IF(F35=0,0,F35*(F$48-F$42)/(F$37-F$31))</f>
        <v>0</v>
      </c>
      <c r="G46" s="75">
        <f t="shared" si="17"/>
        <v>0</v>
      </c>
      <c r="H46" s="6">
        <f t="shared" si="13"/>
        <v>6.42</v>
      </c>
    </row>
    <row r="47" spans="1:9" x14ac:dyDescent="0.25">
      <c r="A47" s="2" t="str">
        <f t="shared" si="14"/>
        <v>with Medicaid</v>
      </c>
      <c r="B47" s="30">
        <f t="shared" si="16"/>
        <v>1.9879382726467236</v>
      </c>
      <c r="C47" s="30">
        <f t="shared" si="12"/>
        <v>0.55206172735327641</v>
      </c>
      <c r="D47" s="30">
        <f>IF(D36=0,0,D36*(D$48-D$42)/(D$37-D$31))</f>
        <v>0.33599731324487542</v>
      </c>
      <c r="E47" s="30">
        <f t="shared" si="12"/>
        <v>0.1840026867551246</v>
      </c>
      <c r="F47" s="30">
        <f>IF(F36=0,0,F36*(F$48-F$42)/(F$37-F$31))</f>
        <v>0.198023810228074</v>
      </c>
      <c r="G47" s="30">
        <f t="shared" si="17"/>
        <v>5.1976189771926001E-2</v>
      </c>
      <c r="H47" s="30">
        <f t="shared" si="13"/>
        <v>3.31</v>
      </c>
    </row>
    <row r="48" spans="1:9" x14ac:dyDescent="0.25">
      <c r="A48" t="s">
        <v>60</v>
      </c>
      <c r="B48" s="6">
        <f>B37*$B$51</f>
        <v>52.4495</v>
      </c>
      <c r="C48" s="6">
        <f>SUM(B37:C37)-B48</f>
        <v>6.3305000000000007</v>
      </c>
      <c r="D48" s="6">
        <f>D37*$B$51</f>
        <v>34.219000000000001</v>
      </c>
      <c r="E48" s="6">
        <f>SUM(D37:E37)-D48</f>
        <v>6.2110000000000056</v>
      </c>
      <c r="F48" s="6">
        <f>F37*$B$51</f>
        <v>0.55099999999999993</v>
      </c>
      <c r="G48" s="6">
        <f t="shared" si="17"/>
        <v>0.249</v>
      </c>
      <c r="H48">
        <f t="shared" si="13"/>
        <v>100.01</v>
      </c>
      <c r="I48" s="6">
        <f>SUM(H41:H47)</f>
        <v>100.01</v>
      </c>
    </row>
    <row r="50" spans="1:9" x14ac:dyDescent="0.25">
      <c r="A50" t="s">
        <v>143</v>
      </c>
      <c r="B50">
        <f>(Parameters!$B$17*100-Parameters!$B$18*IF($B$3=1,SUM(B13:C13),SUM($AH$13:$AI$13)))/(100-IF($B$3=1,SUM(B13:C13),SUM($AH$13:$AI$13)))</f>
        <v>2.1300339640950999E-2</v>
      </c>
    </row>
    <row r="51" spans="1:9" x14ac:dyDescent="0.25">
      <c r="A51" t="s">
        <v>146</v>
      </c>
      <c r="B51">
        <f>Parameters!$B$16</f>
        <v>0.95</v>
      </c>
    </row>
    <row r="53" spans="1:9" x14ac:dyDescent="0.25">
      <c r="A53" s="40" t="s">
        <v>147</v>
      </c>
      <c r="B53" s="117" t="s">
        <v>136</v>
      </c>
      <c r="C53" s="117"/>
      <c r="D53" s="117"/>
      <c r="E53" s="117"/>
      <c r="F53" s="117"/>
      <c r="G53" s="117"/>
      <c r="H53" s="117"/>
    </row>
    <row r="55" spans="1:9" x14ac:dyDescent="0.25">
      <c r="A55" t="str">
        <f>A41</f>
        <v>without HI</v>
      </c>
      <c r="B55" s="6">
        <f>AVERAGE(B7,B41)</f>
        <v>6.2212119214379147</v>
      </c>
      <c r="C55" s="6">
        <f t="shared" ref="C55:G57" si="18">AVERAGE(C7,C41)</f>
        <v>1.0987880785620863</v>
      </c>
      <c r="D55" s="6">
        <f t="shared" si="18"/>
        <v>1.6223644439480065</v>
      </c>
      <c r="E55" s="6">
        <f t="shared" si="18"/>
        <v>0.34263555605199364</v>
      </c>
      <c r="F55" s="6">
        <f t="shared" si="18"/>
        <v>0.21336536305493031</v>
      </c>
      <c r="G55" s="6">
        <f t="shared" si="18"/>
        <v>0.11663463694506968</v>
      </c>
      <c r="H55" s="6">
        <f t="shared" ref="H55:H62" si="19">SUM(B55:G55)</f>
        <v>9.615000000000002</v>
      </c>
    </row>
    <row r="56" spans="1:9" x14ac:dyDescent="0.25">
      <c r="A56" t="str">
        <f t="shared" ref="A56:A62" si="20">A42</f>
        <v>own ESI</v>
      </c>
      <c r="B56" s="6">
        <f>AVERAGE(B8,B42)</f>
        <v>33.259500000000003</v>
      </c>
      <c r="C56" s="6">
        <f t="shared" si="18"/>
        <v>0.95</v>
      </c>
      <c r="D56" s="6">
        <f t="shared" si="18"/>
        <v>20.253429403202329</v>
      </c>
      <c r="E56" s="6">
        <f t="shared" si="18"/>
        <v>1.2532062105773896</v>
      </c>
      <c r="F56" s="6">
        <f t="shared" si="18"/>
        <v>7.0745511887433291E-2</v>
      </c>
      <c r="G56" s="6">
        <f t="shared" si="18"/>
        <v>3.0319505094614264E-2</v>
      </c>
      <c r="H56" s="6">
        <f t="shared" si="19"/>
        <v>55.817200630761775</v>
      </c>
    </row>
    <row r="57" spans="1:9" x14ac:dyDescent="0.25">
      <c r="A57" t="str">
        <f t="shared" si="20"/>
        <v>own other private coverage</v>
      </c>
      <c r="B57" s="6">
        <f>AVERAGE(B9,B43)</f>
        <v>5.5792089941324194</v>
      </c>
      <c r="C57" s="6">
        <f t="shared" si="18"/>
        <v>1.272919384245961</v>
      </c>
      <c r="D57" s="6">
        <f t="shared" si="18"/>
        <v>1.1547534421266292</v>
      </c>
      <c r="E57" s="6">
        <f t="shared" si="18"/>
        <v>0.45465934197352731</v>
      </c>
      <c r="F57" s="6">
        <f t="shared" si="18"/>
        <v>7.2377219943599358E-2</v>
      </c>
      <c r="G57" s="6">
        <f t="shared" si="18"/>
        <v>4.1557763074353063E-2</v>
      </c>
      <c r="H57" s="6">
        <f t="shared" si="19"/>
        <v>8.5754761454964896</v>
      </c>
    </row>
    <row r="58" spans="1:9" x14ac:dyDescent="0.25">
      <c r="A58" t="str">
        <f t="shared" si="20"/>
        <v>family ESI</v>
      </c>
      <c r="B58" s="6">
        <f>AVERAGE(B14,B44)</f>
        <v>3.6846579696574553</v>
      </c>
      <c r="C58" s="6">
        <f t="shared" ref="C58:G59" si="21">AVERAGE(C14,C44)</f>
        <v>0.62128121953173399</v>
      </c>
      <c r="D58" s="6">
        <f t="shared" si="21"/>
        <v>8.7480160822403299</v>
      </c>
      <c r="E58" s="6">
        <f t="shared" si="21"/>
        <v>2.065445860179608</v>
      </c>
      <c r="F58" s="75">
        <f t="shared" si="21"/>
        <v>0</v>
      </c>
      <c r="G58" s="75">
        <f t="shared" si="21"/>
        <v>0</v>
      </c>
      <c r="H58" s="6">
        <f t="shared" si="19"/>
        <v>15.119401131609127</v>
      </c>
    </row>
    <row r="59" spans="1:9" x14ac:dyDescent="0.25">
      <c r="A59" t="str">
        <f t="shared" si="20"/>
        <v>family other private</v>
      </c>
      <c r="B59" s="6">
        <f>AVERAGE(B15,B45)</f>
        <v>0.23066856213730291</v>
      </c>
      <c r="C59" s="6">
        <f t="shared" si="21"/>
        <v>0.21676387029512956</v>
      </c>
      <c r="D59" s="6">
        <f t="shared" si="21"/>
        <v>0.38273720270782596</v>
      </c>
      <c r="E59" s="6">
        <f t="shared" si="21"/>
        <v>0.31775245699236176</v>
      </c>
      <c r="F59" s="75">
        <f t="shared" si="21"/>
        <v>0</v>
      </c>
      <c r="G59" s="75">
        <f t="shared" si="21"/>
        <v>0</v>
      </c>
      <c r="H59" s="6">
        <f t="shared" si="19"/>
        <v>1.1479220921326201</v>
      </c>
    </row>
    <row r="60" spans="1:9" x14ac:dyDescent="0.25">
      <c r="A60" t="str">
        <f t="shared" si="20"/>
        <v>working elderly or working age&lt;26</v>
      </c>
      <c r="B60" s="6">
        <f>AVERAGE(B11,B46)</f>
        <v>2.740533416311548</v>
      </c>
      <c r="C60" s="6">
        <f t="shared" ref="C60:G62" si="22">AVERAGE(C11,C46)</f>
        <v>0.35946658368845208</v>
      </c>
      <c r="D60" s="6">
        <f t="shared" si="22"/>
        <v>2.6002007691524422</v>
      </c>
      <c r="E60" s="6">
        <f t="shared" si="22"/>
        <v>0.71979923084755781</v>
      </c>
      <c r="F60" s="75">
        <f t="shared" si="22"/>
        <v>0</v>
      </c>
      <c r="G60" s="75">
        <f t="shared" si="22"/>
        <v>0</v>
      </c>
      <c r="H60" s="6">
        <f t="shared" si="19"/>
        <v>6.42</v>
      </c>
    </row>
    <row r="61" spans="1:9" x14ac:dyDescent="0.25">
      <c r="A61" s="2" t="str">
        <f t="shared" si="20"/>
        <v>with Medicaid</v>
      </c>
      <c r="B61" s="30">
        <f>AVERAGE(B12,B47)</f>
        <v>2.1189691363233618</v>
      </c>
      <c r="C61" s="30">
        <f t="shared" si="22"/>
        <v>0.42103086367663822</v>
      </c>
      <c r="D61" s="30">
        <f t="shared" si="22"/>
        <v>0.35799865662243768</v>
      </c>
      <c r="E61" s="30">
        <f t="shared" si="22"/>
        <v>0.16200134337756231</v>
      </c>
      <c r="F61" s="30">
        <f t="shared" si="22"/>
        <v>0.204011905114037</v>
      </c>
      <c r="G61" s="30">
        <f t="shared" si="22"/>
        <v>4.5988094885963005E-2</v>
      </c>
      <c r="H61" s="30">
        <f t="shared" si="19"/>
        <v>3.31</v>
      </c>
    </row>
    <row r="62" spans="1:9" x14ac:dyDescent="0.25">
      <c r="A62" t="str">
        <f t="shared" si="20"/>
        <v>TOTAL</v>
      </c>
      <c r="B62" s="76">
        <f>AVERAGE(B13,B48)</f>
        <v>53.829750000000004</v>
      </c>
      <c r="C62" s="76">
        <f t="shared" si="22"/>
        <v>4.9502500000000005</v>
      </c>
      <c r="D62" s="76">
        <f t="shared" si="22"/>
        <v>35.119500000000002</v>
      </c>
      <c r="E62" s="76">
        <f t="shared" si="22"/>
        <v>5.3105000000000029</v>
      </c>
      <c r="F62" s="76">
        <f t="shared" si="22"/>
        <v>0.56549999999999989</v>
      </c>
      <c r="G62" s="76">
        <f t="shared" si="22"/>
        <v>0.23449999999999999</v>
      </c>
      <c r="H62">
        <f t="shared" si="19"/>
        <v>100.01</v>
      </c>
      <c r="I62" s="6">
        <f>SUM(H55:H61)</f>
        <v>100.00500000000001</v>
      </c>
    </row>
    <row r="64" spans="1:9" x14ac:dyDescent="0.25">
      <c r="A64" s="40" t="s">
        <v>154</v>
      </c>
      <c r="B64" s="117" t="s">
        <v>136</v>
      </c>
      <c r="C64" s="117"/>
      <c r="D64" s="117"/>
      <c r="E64" s="117"/>
      <c r="F64" s="117"/>
      <c r="G64" s="117"/>
      <c r="H64" s="117"/>
    </row>
    <row r="66" spans="1:9" x14ac:dyDescent="0.25">
      <c r="A66" t="str">
        <f>A55</f>
        <v>without HI</v>
      </c>
      <c r="B66" s="6">
        <f t="shared" ref="B66:G66" si="23">B55-B7</f>
        <v>-2.4087880785620861</v>
      </c>
      <c r="C66" s="6">
        <f t="shared" si="23"/>
        <v>-3.1211921437913626E-2</v>
      </c>
      <c r="D66" s="6">
        <f t="shared" si="23"/>
        <v>-0.6276355560519935</v>
      </c>
      <c r="E66" s="6">
        <f t="shared" si="23"/>
        <v>-2.7364443948006356E-2</v>
      </c>
      <c r="F66" s="6">
        <f t="shared" si="23"/>
        <v>-7.6634636945069667E-2</v>
      </c>
      <c r="G66" s="6">
        <f t="shared" si="23"/>
        <v>-3.3365363054930319E-2</v>
      </c>
      <c r="H66" s="6">
        <f t="shared" ref="H66:H73" si="24">SUM(B66:G66)</f>
        <v>-3.2049999999999996</v>
      </c>
    </row>
    <row r="67" spans="1:9" x14ac:dyDescent="0.25">
      <c r="A67" t="str">
        <f t="shared" ref="A67:A73" si="25">A56</f>
        <v>own ESI</v>
      </c>
      <c r="B67" s="6">
        <f t="shared" ref="B67:G68" si="26">B56-B8</f>
        <v>-1.7504999999999953</v>
      </c>
      <c r="C67" s="6">
        <f t="shared" si="26"/>
        <v>-5.0000000000000044E-2</v>
      </c>
      <c r="D67" s="6">
        <f t="shared" si="26"/>
        <v>0.21342940320232984</v>
      </c>
      <c r="E67" s="6">
        <f t="shared" si="26"/>
        <v>1.3206210577389577E-2</v>
      </c>
      <c r="F67" s="6">
        <f t="shared" si="26"/>
        <v>7.4551188743328389E-4</v>
      </c>
      <c r="G67" s="6">
        <f t="shared" si="26"/>
        <v>3.1950509461426552E-4</v>
      </c>
      <c r="H67" s="6">
        <f t="shared" si="24"/>
        <v>-1.5727993692382283</v>
      </c>
    </row>
    <row r="68" spans="1:9" x14ac:dyDescent="0.25">
      <c r="A68" t="str">
        <f t="shared" si="25"/>
        <v>own other private coverage</v>
      </c>
      <c r="B68" s="6">
        <f t="shared" si="26"/>
        <v>3.5092089941324196</v>
      </c>
      <c r="C68" s="6">
        <f t="shared" si="26"/>
        <v>0.96291938424596091</v>
      </c>
      <c r="D68" s="6">
        <f t="shared" si="26"/>
        <v>0.16475344212662923</v>
      </c>
      <c r="E68" s="6">
        <f t="shared" si="26"/>
        <v>0.14465934197352731</v>
      </c>
      <c r="F68" s="6">
        <f t="shared" si="26"/>
        <v>7.2377219943599358E-2</v>
      </c>
      <c r="G68" s="6">
        <f t="shared" si="26"/>
        <v>4.1557763074353063E-2</v>
      </c>
      <c r="H68" s="6">
        <f t="shared" si="24"/>
        <v>4.8954761454964908</v>
      </c>
    </row>
    <row r="69" spans="1:9" x14ac:dyDescent="0.25">
      <c r="A69" t="str">
        <f t="shared" si="25"/>
        <v>family ESI</v>
      </c>
      <c r="B69" s="6">
        <f t="shared" ref="B69:G70" si="27">B58-B14</f>
        <v>-0.4204095979101119</v>
      </c>
      <c r="C69" s="6">
        <f t="shared" si="27"/>
        <v>0.19378121953173399</v>
      </c>
      <c r="D69" s="6">
        <f t="shared" si="27"/>
        <v>-0.44572502729025132</v>
      </c>
      <c r="E69" s="6">
        <f t="shared" si="27"/>
        <v>0.55967662941037721</v>
      </c>
      <c r="F69" s="75">
        <f t="shared" si="27"/>
        <v>0</v>
      </c>
      <c r="G69" s="75">
        <f t="shared" si="27"/>
        <v>0</v>
      </c>
      <c r="H69" s="6">
        <f t="shared" si="24"/>
        <v>-0.11267677625825201</v>
      </c>
    </row>
    <row r="70" spans="1:9" x14ac:dyDescent="0.25">
      <c r="A70" t="str">
        <f t="shared" si="25"/>
        <v>family other private</v>
      </c>
      <c r="B70" s="6">
        <f t="shared" si="27"/>
        <v>-1.4263870295129544E-2</v>
      </c>
      <c r="C70" s="6">
        <f t="shared" si="27"/>
        <v>1.4263870295129544E-2</v>
      </c>
      <c r="D70" s="6">
        <f t="shared" si="27"/>
        <v>-2.3521687761592469E-2</v>
      </c>
      <c r="E70" s="6">
        <f t="shared" si="27"/>
        <v>2.3521687761592469E-2</v>
      </c>
      <c r="F70" s="75">
        <f t="shared" si="27"/>
        <v>0</v>
      </c>
      <c r="G70" s="75">
        <f t="shared" si="27"/>
        <v>0</v>
      </c>
      <c r="H70" s="6">
        <f t="shared" si="24"/>
        <v>0</v>
      </c>
    </row>
    <row r="71" spans="1:9" x14ac:dyDescent="0.25">
      <c r="A71" t="str">
        <f t="shared" si="25"/>
        <v>working elderly or working age&lt;26</v>
      </c>
      <c r="B71" s="6">
        <f>B60-B11</f>
        <v>-0.16946658368845213</v>
      </c>
      <c r="C71" s="6">
        <f t="shared" ref="C71:G73" si="28">C60-C11</f>
        <v>0.16946658368845208</v>
      </c>
      <c r="D71" s="6">
        <f t="shared" si="28"/>
        <v>-0.15979923084755754</v>
      </c>
      <c r="E71" s="6">
        <f t="shared" si="28"/>
        <v>0.15979923084755776</v>
      </c>
      <c r="F71" s="75">
        <f t="shared" si="28"/>
        <v>0</v>
      </c>
      <c r="G71" s="75">
        <f t="shared" si="28"/>
        <v>0</v>
      </c>
      <c r="H71" s="6">
        <f t="shared" si="24"/>
        <v>1.6653345369377348E-16</v>
      </c>
    </row>
    <row r="72" spans="1:9" x14ac:dyDescent="0.25">
      <c r="A72" s="2" t="str">
        <f t="shared" si="25"/>
        <v>with Medicaid</v>
      </c>
      <c r="B72" s="30">
        <f>B61-B12</f>
        <v>-0.13103086367663819</v>
      </c>
      <c r="C72" s="30">
        <f>C61-C12</f>
        <v>0.13103086367663824</v>
      </c>
      <c r="D72" s="30">
        <f>D61-D12</f>
        <v>-2.2001343377562321E-2</v>
      </c>
      <c r="E72" s="30">
        <f>E61-E12</f>
        <v>2.2001343377562294E-2</v>
      </c>
      <c r="F72" s="30">
        <f>F61-F12</f>
        <v>-5.9880948859629968E-3</v>
      </c>
      <c r="G72" s="30">
        <f>G61-G12</f>
        <v>5.9880948859630037E-3</v>
      </c>
      <c r="H72" s="30">
        <f t="shared" si="24"/>
        <v>3.4694469519536142E-17</v>
      </c>
    </row>
    <row r="73" spans="1:9" x14ac:dyDescent="0.25">
      <c r="A73" t="str">
        <f t="shared" si="25"/>
        <v>TOTAL</v>
      </c>
      <c r="B73" s="6">
        <f>B62-B13</f>
        <v>-1.3802499999999966</v>
      </c>
      <c r="C73" s="6">
        <f t="shared" si="28"/>
        <v>1.3802500000000006</v>
      </c>
      <c r="D73" s="6">
        <f t="shared" si="28"/>
        <v>-0.90050000000000097</v>
      </c>
      <c r="E73" s="6">
        <f t="shared" si="28"/>
        <v>0.90050000000000274</v>
      </c>
      <c r="F73" s="6">
        <f t="shared" si="28"/>
        <v>-1.4500000000000068E-2</v>
      </c>
      <c r="G73" s="6">
        <f t="shared" si="28"/>
        <v>1.4499999999999985E-2</v>
      </c>
      <c r="H73" s="6">
        <f t="shared" si="24"/>
        <v>5.6898930012039273E-15</v>
      </c>
      <c r="I73" s="6">
        <f>SUM(H66:H72)</f>
        <v>5.0000000000115299E-3</v>
      </c>
    </row>
  </sheetData>
  <mergeCells count="29">
    <mergeCell ref="AH4:AN4"/>
    <mergeCell ref="AH5:AI5"/>
    <mergeCell ref="AJ5:AK5"/>
    <mergeCell ref="AL5:AM5"/>
    <mergeCell ref="AH17:AN17"/>
    <mergeCell ref="J17:P17"/>
    <mergeCell ref="F5:G5"/>
    <mergeCell ref="B17:H17"/>
    <mergeCell ref="B4:H4"/>
    <mergeCell ref="B5:C5"/>
    <mergeCell ref="D5:E5"/>
    <mergeCell ref="J5:K5"/>
    <mergeCell ref="L5:M5"/>
    <mergeCell ref="B64:H64"/>
    <mergeCell ref="Z4:AF4"/>
    <mergeCell ref="Z5:AA5"/>
    <mergeCell ref="AB5:AC5"/>
    <mergeCell ref="AD5:AE5"/>
    <mergeCell ref="Z17:AF17"/>
    <mergeCell ref="B28:H28"/>
    <mergeCell ref="B39:H39"/>
    <mergeCell ref="B53:H53"/>
    <mergeCell ref="R4:X4"/>
    <mergeCell ref="R5:S5"/>
    <mergeCell ref="T5:U5"/>
    <mergeCell ref="V5:W5"/>
    <mergeCell ref="R17:X17"/>
    <mergeCell ref="N5:O5"/>
    <mergeCell ref="J4:P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ColWidth="8.85546875" defaultRowHeight="15" x14ac:dyDescent="0.25"/>
  <cols>
    <col min="1" max="1" width="35.7109375" bestFit="1" customWidth="1"/>
    <col min="2" max="4" width="14.7109375" customWidth="1"/>
    <col min="5" max="5" width="2.7109375" customWidth="1"/>
  </cols>
  <sheetData>
    <row r="1" spans="1:6" x14ac:dyDescent="0.25">
      <c r="A1" s="1" t="s">
        <v>0</v>
      </c>
    </row>
    <row r="2" spans="1:6" x14ac:dyDescent="0.25">
      <c r="A2" s="13" t="s">
        <v>50</v>
      </c>
    </row>
    <row r="3" spans="1:6" x14ac:dyDescent="0.25">
      <c r="A3" s="29" t="s">
        <v>58</v>
      </c>
      <c r="B3" s="17">
        <v>2015</v>
      </c>
    </row>
    <row r="4" spans="1:6" x14ac:dyDescent="0.25">
      <c r="B4" s="117" t="s">
        <v>47</v>
      </c>
      <c r="C4" s="117"/>
      <c r="D4" s="117"/>
    </row>
    <row r="5" spans="1:6" x14ac:dyDescent="0.25">
      <c r="A5" s="2" t="s">
        <v>2</v>
      </c>
      <c r="B5" s="15" t="s">
        <v>3</v>
      </c>
      <c r="C5" s="15" t="s">
        <v>4</v>
      </c>
      <c r="D5" s="15" t="s">
        <v>5</v>
      </c>
      <c r="E5" s="15"/>
      <c r="F5" s="16" t="s">
        <v>25</v>
      </c>
    </row>
    <row r="6" spans="1:6" x14ac:dyDescent="0.25">
      <c r="A6" t="s">
        <v>77</v>
      </c>
      <c r="B6" s="8">
        <f>IF(B3&gt;2014,Parameters!$B$11*(1+Parameters!$B$12)^($B$3-2014),0)</f>
        <v>176.27515729061582</v>
      </c>
      <c r="C6" s="8">
        <f>B6</f>
        <v>176.27515729061582</v>
      </c>
      <c r="D6" s="8">
        <f>C6*Parameters!$B$15/(1-Parameters!$B$14/Parameters!$B$13)</f>
        <v>202.20576378096163</v>
      </c>
      <c r="E6" s="8"/>
      <c r="F6" t="str">
        <f>"jumps to "&amp;TEXT(Parameters!$B$11*(1+Parameters!$B$12),"0")&amp;" in 2015 then grows "&amp;TEXT(Parameters!$B$12,"0.0%")&amp;"/year more than wages"</f>
        <v>jumps to 176 in 2015 then grows 1.6%/year more than wages</v>
      </c>
    </row>
    <row r="7" spans="1:6" x14ac:dyDescent="0.25">
      <c r="A7" t="s">
        <v>29</v>
      </c>
      <c r="B7" s="8">
        <f>Parameters!$B$23*Parameters!$B$24/12</f>
        <v>94.253899999999987</v>
      </c>
      <c r="C7">
        <v>0</v>
      </c>
      <c r="D7">
        <v>0</v>
      </c>
      <c r="F7" t="s">
        <v>34</v>
      </c>
    </row>
    <row r="8" spans="1:6" x14ac:dyDescent="0.25">
      <c r="A8" t="s">
        <v>36</v>
      </c>
      <c r="B8" s="8">
        <f>Parameters!$B$27*Parameters!$B$25*52/12</f>
        <v>764.72507985900018</v>
      </c>
      <c r="C8" s="8">
        <f>B8</f>
        <v>764.72507985900018</v>
      </c>
      <c r="D8" s="8">
        <f>C8</f>
        <v>764.72507985900018</v>
      </c>
    </row>
    <row r="9" spans="1:6" x14ac:dyDescent="0.25">
      <c r="A9" t="s">
        <v>311</v>
      </c>
      <c r="B9" s="8">
        <f>Parameters!$B$29*Parameters!$B$25*52/12</f>
        <v>141.66944999999998</v>
      </c>
      <c r="C9" s="8">
        <f>B9</f>
        <v>141.66944999999998</v>
      </c>
      <c r="D9" s="8">
        <f>C9</f>
        <v>141.66944999999998</v>
      </c>
    </row>
    <row r="10" spans="1:6" x14ac:dyDescent="0.25">
      <c r="A10" t="s">
        <v>35</v>
      </c>
      <c r="B10" s="8">
        <f>Parameters!$B$34*(1+Parameters!$B$12)^($B$3-2014)</f>
        <v>466.70356240000001</v>
      </c>
      <c r="C10" s="8">
        <f>B10</f>
        <v>466.70356240000001</v>
      </c>
      <c r="D10" s="8">
        <f>C10*Parameters!$B$15/(1-Parameters!$B$14/Parameters!$B$13)</f>
        <v>535.3570619075067</v>
      </c>
      <c r="F10" t="str">
        <f>"grows "&amp;TEXT(Parameters!$B$12,"0.0%")&amp;"/year more than wages"</f>
        <v>grows 1.6%/year more than wages</v>
      </c>
    </row>
    <row r="11" spans="1:6" x14ac:dyDescent="0.25">
      <c r="A11" t="s">
        <v>325</v>
      </c>
      <c r="B11" s="8">
        <f>Parameters!$B$45*Parameters!$B$26</f>
        <v>-194.86581327116681</v>
      </c>
      <c r="C11" s="8">
        <f>B11</f>
        <v>-194.86581327116681</v>
      </c>
      <c r="D11" s="8">
        <f>C11</f>
        <v>-194.86581327116681</v>
      </c>
    </row>
    <row r="12" spans="1:6" x14ac:dyDescent="0.25">
      <c r="A12" t="s">
        <v>331</v>
      </c>
      <c r="B12" s="8">
        <f>Parameters!$B$39*(1+Parameters!$B$12)^(FY2010dollars!$B$3-2014)</f>
        <v>181.86145515448518</v>
      </c>
      <c r="C12" s="8">
        <f>B12</f>
        <v>181.86145515448518</v>
      </c>
      <c r="D12" s="8">
        <f>C12</f>
        <v>181.86145515448518</v>
      </c>
      <c r="F12" t="str">
        <f>"grows "&amp;TEXT(Parameters!$B$12,"0.0%")&amp;"/year more than wages"</f>
        <v>grows 1.6%/year more than wages</v>
      </c>
    </row>
    <row r="13" spans="1:6" x14ac:dyDescent="0.25">
      <c r="A13" t="s">
        <v>44</v>
      </c>
      <c r="B13" s="8">
        <f>-Parameters!$B$28*Parameters!$B$37</f>
        <v>-276.56058698099997</v>
      </c>
      <c r="C13" s="8">
        <v>0</v>
      </c>
      <c r="D13">
        <v>0</v>
      </c>
    </row>
    <row r="14" spans="1:6" x14ac:dyDescent="0.25">
      <c r="A14" t="s">
        <v>57</v>
      </c>
      <c r="B14" s="8">
        <f>-Parameters!$B$49</f>
        <v>-185.05239274574038</v>
      </c>
      <c r="C14" s="8">
        <f>B14</f>
        <v>-185.05239274574038</v>
      </c>
      <c r="D14" s="8">
        <f>C14</f>
        <v>-185.05239274574038</v>
      </c>
      <c r="F14" t="s">
        <v>56</v>
      </c>
    </row>
    <row r="16" spans="1:6" x14ac:dyDescent="0.25">
      <c r="A16" s="14" t="s">
        <v>26</v>
      </c>
    </row>
    <row r="17" spans="1:6" x14ac:dyDescent="0.25">
      <c r="A17" t="s">
        <v>27</v>
      </c>
    </row>
    <row r="19" spans="1:6" x14ac:dyDescent="0.25">
      <c r="A19" s="2" t="s">
        <v>2</v>
      </c>
      <c r="B19" s="15" t="s">
        <v>3</v>
      </c>
      <c r="C19" s="15" t="s">
        <v>4</v>
      </c>
      <c r="D19" s="15" t="s">
        <v>5</v>
      </c>
      <c r="E19" s="15"/>
      <c r="F19" s="16" t="s">
        <v>25</v>
      </c>
    </row>
    <row r="20" spans="1:6" x14ac:dyDescent="0.25">
      <c r="A20" t="s">
        <v>77</v>
      </c>
      <c r="B20" s="6">
        <f>Table1!B21</f>
        <v>0.23138396660333965</v>
      </c>
      <c r="C20" s="6">
        <f t="shared" ref="C20:C26" si="0">B20</f>
        <v>0.23138396660333965</v>
      </c>
      <c r="D20" s="6">
        <f>Table1!D21</f>
        <v>0.23138396660333965</v>
      </c>
      <c r="F20" t="s">
        <v>28</v>
      </c>
    </row>
    <row r="21" spans="1:6" x14ac:dyDescent="0.25">
      <c r="A21" t="s">
        <v>29</v>
      </c>
      <c r="B21" s="6">
        <f>Table1!B22</f>
        <v>9.2850000000000002E-2</v>
      </c>
      <c r="C21" s="6">
        <f t="shared" si="0"/>
        <v>9.2850000000000002E-2</v>
      </c>
      <c r="D21">
        <v>0</v>
      </c>
    </row>
    <row r="22" spans="1:6" x14ac:dyDescent="0.25">
      <c r="A22" t="s">
        <v>36</v>
      </c>
      <c r="B22" s="6">
        <f>Table1!B23</f>
        <v>8.9330632303643992E-2</v>
      </c>
      <c r="C22" s="6">
        <f t="shared" si="0"/>
        <v>8.9330632303643992E-2</v>
      </c>
      <c r="D22" s="6">
        <f>Table1!D23</f>
        <v>8.6876402986387005E-2</v>
      </c>
    </row>
    <row r="23" spans="1:6" x14ac:dyDescent="0.25">
      <c r="A23" t="s">
        <v>311</v>
      </c>
      <c r="B23" s="6">
        <f>Table1!B24</f>
        <v>4.4665316151821996E-2</v>
      </c>
      <c r="C23" s="6">
        <f t="shared" si="0"/>
        <v>4.4665316151821996E-2</v>
      </c>
      <c r="D23" s="6">
        <f>C23</f>
        <v>4.4665316151821996E-2</v>
      </c>
    </row>
    <row r="24" spans="1:6" x14ac:dyDescent="0.25">
      <c r="A24" t="s">
        <v>35</v>
      </c>
      <c r="B24" s="6">
        <f>Table1!B25</f>
        <v>0.16420560000000001</v>
      </c>
      <c r="C24" s="6">
        <f t="shared" si="0"/>
        <v>0.16420560000000001</v>
      </c>
      <c r="D24" s="76">
        <f>Table1!D25</f>
        <v>0.13147284705882353</v>
      </c>
    </row>
    <row r="25" spans="1:6" x14ac:dyDescent="0.25">
      <c r="A25" t="s">
        <v>325</v>
      </c>
      <c r="B25" s="6">
        <f>Table1!B26</f>
        <v>3.3452310090888268E-2</v>
      </c>
      <c r="C25" s="6">
        <f>B25</f>
        <v>3.3452310090888268E-2</v>
      </c>
      <c r="D25" s="6">
        <f>C25</f>
        <v>3.3452310090888268E-2</v>
      </c>
    </row>
    <row r="26" spans="1:6" x14ac:dyDescent="0.25">
      <c r="A26" t="s">
        <v>331</v>
      </c>
      <c r="B26" s="6">
        <f>Table1!B27</f>
        <v>7.0154499800175435E-2</v>
      </c>
      <c r="C26" s="6">
        <f t="shared" si="0"/>
        <v>7.0154499800175435E-2</v>
      </c>
      <c r="D26" s="76">
        <f>C26</f>
        <v>7.0154499800175435E-2</v>
      </c>
    </row>
    <row r="27" spans="1:6" x14ac:dyDescent="0.25">
      <c r="A27" t="s">
        <v>44</v>
      </c>
      <c r="B27" s="6">
        <f>Table1!B28</f>
        <v>5.506269980397701E-2</v>
      </c>
      <c r="C27">
        <v>0</v>
      </c>
      <c r="D27">
        <v>0</v>
      </c>
    </row>
    <row r="28" spans="1:6" x14ac:dyDescent="0.25">
      <c r="A28" t="s">
        <v>57</v>
      </c>
      <c r="B28" s="6">
        <f>Table1!B29</f>
        <v>3.2049999999999995E-2</v>
      </c>
      <c r="C28" s="6">
        <f>B28</f>
        <v>3.2049999999999995E-2</v>
      </c>
      <c r="D28" s="6">
        <f>C28</f>
        <v>3.2049999999999995E-2</v>
      </c>
    </row>
    <row r="31" spans="1:6" x14ac:dyDescent="0.25">
      <c r="A31" s="14" t="s">
        <v>43</v>
      </c>
      <c r="B31" s="22">
        <f>SUMPRODUCT(B$6:B$14,B$20:B$28)</f>
        <v>185.89572994571091</v>
      </c>
      <c r="C31" s="22">
        <f>SUMPRODUCT(C$6:C$14,C$20:C$28)</f>
        <v>192.37242790925737</v>
      </c>
      <c r="D31" s="22">
        <f>SUMPRODUCT(D$6:D$14,D$20:D$28)</f>
        <v>190.24512242078956</v>
      </c>
    </row>
    <row r="32" spans="1:6" x14ac:dyDescent="0.25">
      <c r="A32" s="2" t="s">
        <v>78</v>
      </c>
      <c r="B32" s="24">
        <v>0.58255528942526302</v>
      </c>
      <c r="C32" s="24">
        <v>8.9078002007197496E-2</v>
      </c>
      <c r="D32" s="24">
        <v>0.32836670856754002</v>
      </c>
    </row>
    <row r="33" spans="1:3" x14ac:dyDescent="0.25">
      <c r="A33" s="14" t="s">
        <v>79</v>
      </c>
      <c r="C33" s="22">
        <f>SUMPRODUCT(B31:D31,B32:D32)</f>
        <v>187.9008569512178</v>
      </c>
    </row>
    <row r="34" spans="1:3" x14ac:dyDescent="0.25">
      <c r="C34" s="25">
        <f>C33/Parameters!B26</f>
        <v>4.8367084219306543E-2</v>
      </c>
    </row>
    <row r="35" spans="1:3" x14ac:dyDescent="0.25">
      <c r="C35" s="81">
        <f>C34/(1-C36)</f>
        <v>8.954842416455451E-2</v>
      </c>
    </row>
    <row r="36" spans="1:3" x14ac:dyDescent="0.25">
      <c r="C36" s="74">
        <f>WgtDetail!$L$33</f>
        <v>0.45987788539497904</v>
      </c>
    </row>
  </sheetData>
  <mergeCells count="1">
    <mergeCell ref="B4:D4"/>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ColWidth="8.85546875" defaultRowHeight="15" x14ac:dyDescent="0.25"/>
  <cols>
    <col min="1" max="1" width="38" bestFit="1" customWidth="1"/>
    <col min="2" max="2" width="12.7109375" customWidth="1"/>
    <col min="3" max="3" width="10.7109375" customWidth="1"/>
    <col min="4" max="4" width="14.7109375" customWidth="1"/>
    <col min="5" max="5" width="2.7109375" customWidth="1"/>
    <col min="10" max="10" width="9.85546875" customWidth="1"/>
  </cols>
  <sheetData>
    <row r="1" spans="1:10" ht="15.75" x14ac:dyDescent="0.25">
      <c r="A1" s="50" t="s">
        <v>80</v>
      </c>
      <c r="B1" s="41"/>
      <c r="C1" s="41"/>
      <c r="D1" s="41"/>
      <c r="E1" s="41"/>
      <c r="F1" s="41"/>
    </row>
    <row r="2" spans="1:10" ht="15.75" customHeight="1" x14ac:dyDescent="0.25">
      <c r="A2" s="41" t="str">
        <f>"Calendar year "&amp;TEXT(FY2010dollars!$B$3,"0")&amp;", average among household heads and spouses with median earnings potential"</f>
        <v>Calendar year 2015, average among household heads and spouses with median earnings potential</v>
      </c>
      <c r="B2" s="41"/>
      <c r="C2" s="41"/>
      <c r="D2" s="41"/>
      <c r="E2" s="41"/>
      <c r="F2" s="41"/>
    </row>
    <row r="3" spans="1:10" ht="15.75" customHeight="1" x14ac:dyDescent="0.25">
      <c r="A3" s="41"/>
      <c r="B3" s="41"/>
      <c r="C3" s="41"/>
      <c r="D3" s="41"/>
      <c r="E3" s="41"/>
      <c r="F3" s="41"/>
    </row>
    <row r="4" spans="1:10" ht="15.75" x14ac:dyDescent="0.25">
      <c r="A4" s="122" t="s">
        <v>329</v>
      </c>
      <c r="B4" s="122"/>
      <c r="C4" s="122"/>
      <c r="D4" s="122"/>
      <c r="E4" s="122"/>
      <c r="F4" s="122"/>
      <c r="G4" s="122"/>
      <c r="H4" s="122"/>
      <c r="I4" s="122"/>
      <c r="J4" s="122"/>
    </row>
    <row r="5" spans="1:10" ht="15.75" x14ac:dyDescent="0.25">
      <c r="A5" s="41"/>
      <c r="B5" s="41"/>
      <c r="C5" s="41"/>
      <c r="D5" s="41"/>
      <c r="E5" s="41"/>
      <c r="F5" s="41"/>
    </row>
    <row r="6" spans="1:10" ht="15.75" x14ac:dyDescent="0.25">
      <c r="A6" s="41"/>
      <c r="B6" s="118" t="s">
        <v>47</v>
      </c>
      <c r="C6" s="118"/>
      <c r="D6" s="118"/>
      <c r="E6" s="41"/>
      <c r="F6" s="41"/>
    </row>
    <row r="7" spans="1:10" ht="15.75" x14ac:dyDescent="0.25">
      <c r="A7" s="43" t="s">
        <v>2</v>
      </c>
      <c r="B7" s="44" t="s">
        <v>3</v>
      </c>
      <c r="C7" s="44" t="s">
        <v>4</v>
      </c>
      <c r="D7" s="44" t="s">
        <v>5</v>
      </c>
      <c r="E7" s="44"/>
      <c r="F7" s="45" t="s">
        <v>25</v>
      </c>
    </row>
    <row r="8" spans="1:10" ht="15.75" x14ac:dyDescent="0.25">
      <c r="A8" s="41" t="s">
        <v>77</v>
      </c>
      <c r="B8" s="46">
        <f>FY2010dollars!B6*Parameters!$B$10/Parameters!$B$9</f>
        <v>191.72535970903479</v>
      </c>
      <c r="C8" s="46">
        <f>B8</f>
        <v>191.72535970903479</v>
      </c>
      <c r="D8" s="77">
        <f>C8*Parameters!$B$15/(1-Parameters!$B$14/Parameters!$B$13)</f>
        <v>219.92873750343742</v>
      </c>
      <c r="E8" s="46"/>
      <c r="F8" s="41" t="str">
        <f>"starts at "&amp;TEXT(Parameters!$B$11*(1+Parameters!$B$12)*Parameters!$B$10/Parameters!$B$9,"0")&amp;" in 2015,then grows at wages +"&amp;TEXT(Parameters!$B$12,"0.0%")&amp;"/yr"</f>
        <v>starts at 192 in 2015,then grows at wages +1.6%/yr</v>
      </c>
    </row>
    <row r="9" spans="1:10" ht="15.75" x14ac:dyDescent="0.25">
      <c r="A9" s="93" t="s">
        <v>265</v>
      </c>
      <c r="B9" s="46">
        <f>Parameters!$B$23*Parameters!$B$24*Parameters!$B$10/(Parameters!$B$9*12)</f>
        <v>102.51508584211265</v>
      </c>
      <c r="C9" s="41">
        <v>0</v>
      </c>
      <c r="D9" s="41">
        <v>0</v>
      </c>
      <c r="E9" s="41"/>
      <c r="F9" s="41" t="s">
        <v>83</v>
      </c>
    </row>
    <row r="10" spans="1:10" ht="15.75" x14ac:dyDescent="0.25">
      <c r="A10" s="41" t="s">
        <v>36</v>
      </c>
      <c r="B10" s="46">
        <f>Parameters!$B$27*Parameters!$B$25*52*Parameters!$B$10/(Parameters!$B$9*12)</f>
        <v>831.7518660486395</v>
      </c>
      <c r="C10" s="46">
        <f>B10</f>
        <v>831.7518660486395</v>
      </c>
      <c r="D10" s="46">
        <f>C10</f>
        <v>831.7518660486395</v>
      </c>
      <c r="E10" s="41"/>
      <c r="F10" s="41"/>
    </row>
    <row r="11" spans="1:10" ht="15.75" x14ac:dyDescent="0.25">
      <c r="A11" s="110" t="s">
        <v>311</v>
      </c>
      <c r="B11" s="46">
        <f>Parameters!$B$29*Parameters!$B$25*52*Parameters!$B$10/(Parameters!$B$9*12)</f>
        <v>154.0865240372535</v>
      </c>
      <c r="C11" s="46">
        <f>B11</f>
        <v>154.0865240372535</v>
      </c>
      <c r="D11" s="46">
        <f>C11</f>
        <v>154.0865240372535</v>
      </c>
      <c r="E11" s="41"/>
      <c r="F11" s="41"/>
    </row>
    <row r="12" spans="1:10" ht="15.75" x14ac:dyDescent="0.25">
      <c r="A12" s="41" t="s">
        <v>35</v>
      </c>
      <c r="B12" s="46">
        <f>Parameters!$B$34*(1+Parameters!$B$12)^(FY2010dollars!$B$3-2014)*Parameters!$B$10/Parameters!$B$9</f>
        <v>507.60929534221708</v>
      </c>
      <c r="C12" s="46">
        <f>B12</f>
        <v>507.60929534221708</v>
      </c>
      <c r="D12" s="77">
        <f>C12*Parameters!$B$15/(1-Parameters!$B$14/Parameters!$B$13)</f>
        <v>582.2801513531989</v>
      </c>
      <c r="E12" s="41"/>
      <c r="F12" s="41" t="str">
        <f>"grows "&amp;TEXT(Parameters!$B$12,"0.0%")&amp;"/year more than wages"</f>
        <v>grows 1.6%/year more than wages</v>
      </c>
    </row>
    <row r="13" spans="1:10" ht="15.75" x14ac:dyDescent="0.25">
      <c r="A13" s="113" t="s">
        <v>325</v>
      </c>
      <c r="B13" s="46">
        <f>Parameters!$B$45*Parameters!$B$26*Parameters!$B$10/Parameters!$B$9</f>
        <v>-211.94545345271405</v>
      </c>
      <c r="C13" s="46">
        <f>B13</f>
        <v>-211.94545345271405</v>
      </c>
      <c r="D13" s="77">
        <f>C13</f>
        <v>-211.94545345271405</v>
      </c>
      <c r="E13" s="41"/>
      <c r="F13" s="41"/>
    </row>
    <row r="14" spans="1:10" ht="15.75" x14ac:dyDescent="0.25">
      <c r="A14" s="113" t="s">
        <v>331</v>
      </c>
      <c r="B14" s="46">
        <f>Parameters!$B$39*(1+Parameters!$B$12)^(FY2010dollars!$B$3-2014)*Parameters!$B$10/Parameters!$B$9</f>
        <v>197.80128659433268</v>
      </c>
      <c r="C14" s="46">
        <f>B14</f>
        <v>197.80128659433268</v>
      </c>
      <c r="D14" s="46">
        <f>C14</f>
        <v>197.80128659433268</v>
      </c>
      <c r="E14" s="41"/>
      <c r="F14" s="41" t="str">
        <f>"grows "&amp;TEXT(Parameters!$B$12,"0.0%")&amp;"/year more than wages"</f>
        <v>grows 1.6%/year more than wages</v>
      </c>
    </row>
    <row r="15" spans="1:10" ht="15.75" x14ac:dyDescent="0.25">
      <c r="A15" s="41" t="s">
        <v>44</v>
      </c>
      <c r="B15" s="46">
        <f>-Parameters!$B$28*Parameters!$B$37*Parameters!$B$10/Parameters!$B$9</f>
        <v>-300.80062803663594</v>
      </c>
      <c r="C15" s="46">
        <v>0</v>
      </c>
      <c r="D15" s="41">
        <v>0</v>
      </c>
      <c r="E15" s="41"/>
      <c r="F15" s="41" t="s">
        <v>56</v>
      </c>
    </row>
    <row r="16" spans="1:10" ht="15.75" x14ac:dyDescent="0.25">
      <c r="A16" s="41" t="s">
        <v>57</v>
      </c>
      <c r="B16" s="46">
        <f>-Parameters!$B$49*Parameters!$B$10/Parameters!$B$9</f>
        <v>-201.27190416118509</v>
      </c>
      <c r="C16" s="46">
        <f>B16</f>
        <v>-201.27190416118509</v>
      </c>
      <c r="D16" s="46">
        <f>C16</f>
        <v>-201.27190416118509</v>
      </c>
      <c r="E16" s="41"/>
      <c r="F16" s="41" t="s">
        <v>56</v>
      </c>
    </row>
    <row r="17" spans="1:8" ht="15.75" x14ac:dyDescent="0.25">
      <c r="A17" s="41"/>
      <c r="B17" s="41"/>
      <c r="C17" s="41"/>
      <c r="D17" s="41"/>
      <c r="E17" s="41"/>
      <c r="F17" s="41"/>
    </row>
    <row r="18" spans="1:8" ht="15.75" x14ac:dyDescent="0.25">
      <c r="A18" s="42" t="s">
        <v>269</v>
      </c>
      <c r="B18" s="41"/>
      <c r="C18" s="41"/>
      <c r="D18" s="41"/>
      <c r="E18" s="41"/>
      <c r="F18" s="41"/>
    </row>
    <row r="19" spans="1:8" ht="15.75" x14ac:dyDescent="0.25">
      <c r="A19" s="41"/>
      <c r="B19" s="41"/>
      <c r="C19" s="41"/>
      <c r="D19" s="41"/>
      <c r="E19" s="41"/>
      <c r="F19" s="41"/>
    </row>
    <row r="20" spans="1:8" ht="15.75" x14ac:dyDescent="0.25">
      <c r="A20" s="43" t="s">
        <v>2</v>
      </c>
      <c r="B20" s="44" t="s">
        <v>3</v>
      </c>
      <c r="C20" s="44" t="s">
        <v>4</v>
      </c>
      <c r="D20" s="44" t="s">
        <v>5</v>
      </c>
      <c r="E20" s="44"/>
      <c r="F20" s="45" t="s">
        <v>25</v>
      </c>
    </row>
    <row r="21" spans="1:8" ht="15.75" x14ac:dyDescent="0.25">
      <c r="A21" s="41" t="s">
        <v>77</v>
      </c>
      <c r="B21" s="47">
        <f>WgtDetail!I9+WgtDetail!I16+WgtDetail!I23+WgtDetail!I30</f>
        <v>0.23138396660333965</v>
      </c>
      <c r="C21" s="47">
        <f>B21</f>
        <v>0.23138396660333965</v>
      </c>
      <c r="D21" s="47">
        <f>WgtDetail!I7+WgtDetail!I14+WgtDetail!I21+WgtDetail!I28</f>
        <v>0.23138396660333965</v>
      </c>
      <c r="E21" s="41"/>
      <c r="F21" s="121" t="s">
        <v>84</v>
      </c>
      <c r="G21" s="121"/>
      <c r="H21" s="121"/>
    </row>
    <row r="22" spans="1:8" ht="15.75" x14ac:dyDescent="0.25">
      <c r="A22" s="93" t="s">
        <v>265</v>
      </c>
      <c r="B22" s="47">
        <f>WgtDetail!$E$23+WgtDetail!$G$23+WgtDetail!$I$23+WgtDetail!$E$25+WgtDetail!$G$25+WgtDetail!$I$25</f>
        <v>9.2850000000000002E-2</v>
      </c>
      <c r="C22" s="41">
        <v>0</v>
      </c>
      <c r="D22" s="41">
        <v>0</v>
      </c>
      <c r="E22" s="41"/>
      <c r="F22" s="121"/>
      <c r="G22" s="121"/>
      <c r="H22" s="121"/>
    </row>
    <row r="23" spans="1:8" ht="15.75" x14ac:dyDescent="0.25">
      <c r="A23" s="41" t="s">
        <v>36</v>
      </c>
      <c r="B23" s="47">
        <f>WgtDetail!$I$9+WgtDetail!$G$11+WgtDetail!$I$11+WgtDetail!$E$16+WgtDetail!$G$16+WgtDetail!$I$16+WgtDetail!$E$18+WgtDetail!$G$18+WgtDetail!$I$18+(B25*Parameters!$B$31*(1-Parameters!$B$32/52)*(1+Parameters!$B$33))</f>
        <v>8.9330632303643992E-2</v>
      </c>
      <c r="C23" s="47">
        <f>B23</f>
        <v>8.9330632303643992E-2</v>
      </c>
      <c r="D23" s="47">
        <f>C23+((D25-C25)*Parameters!$B$31*(1-Parameters!$B$32/52))</f>
        <v>8.6876402986387005E-2</v>
      </c>
      <c r="E23" s="41"/>
      <c r="F23" s="121"/>
      <c r="G23" s="121"/>
      <c r="H23" s="121"/>
    </row>
    <row r="24" spans="1:8" ht="15.75" x14ac:dyDescent="0.25">
      <c r="A24" s="110" t="s">
        <v>311</v>
      </c>
      <c r="B24" s="47">
        <f>B23*Parameters!$B$30</f>
        <v>4.4665316151821996E-2</v>
      </c>
      <c r="C24" s="47">
        <f>B24</f>
        <v>4.4665316151821996E-2</v>
      </c>
      <c r="D24" s="47">
        <f>C24</f>
        <v>4.4665316151821996E-2</v>
      </c>
      <c r="E24" s="41"/>
      <c r="F24" s="121"/>
      <c r="G24" s="121"/>
      <c r="H24" s="121"/>
    </row>
    <row r="25" spans="1:8" ht="15.75" x14ac:dyDescent="0.25">
      <c r="A25" s="41" t="s">
        <v>35</v>
      </c>
      <c r="B25" s="47">
        <f>WgtDetail!$E$9+WgtDetail!$G$9+WgtDetail!$E$11</f>
        <v>0.16420560000000001</v>
      </c>
      <c r="C25" s="47">
        <f>B25</f>
        <v>0.16420560000000001</v>
      </c>
      <c r="D25" s="78">
        <f>WgtDetail!$G$7</f>
        <v>0.13147284705882353</v>
      </c>
      <c r="E25" s="41"/>
      <c r="F25" s="121"/>
      <c r="G25" s="121"/>
      <c r="H25" s="121"/>
    </row>
    <row r="26" spans="1:8" ht="15.75" x14ac:dyDescent="0.25">
      <c r="A26" s="113" t="s">
        <v>325</v>
      </c>
      <c r="B26" s="47">
        <v>3.3452310090888268E-2</v>
      </c>
      <c r="C26" s="47">
        <f>B26</f>
        <v>3.3452310090888268E-2</v>
      </c>
      <c r="D26" s="78">
        <f>C26</f>
        <v>3.3452310090888268E-2</v>
      </c>
      <c r="E26" s="41"/>
      <c r="F26" s="121"/>
      <c r="G26" s="121"/>
      <c r="H26" s="121"/>
    </row>
    <row r="27" spans="1:8" ht="15.75" x14ac:dyDescent="0.25">
      <c r="A27" s="113" t="s">
        <v>331</v>
      </c>
      <c r="B27" s="47">
        <f>Parameters!$B$40*(Parameters!$B$41*Parameters!$B$42+Parameters!$B$43*Parameters!$B$44)*CoveragebyFTQuantile!$H$12/CoveragebyFTQuantile!$AN$12</f>
        <v>7.0154499800175435E-2</v>
      </c>
      <c r="C27" s="47">
        <f>B27</f>
        <v>7.0154499800175435E-2</v>
      </c>
      <c r="D27" s="47">
        <f>C27</f>
        <v>7.0154499800175435E-2</v>
      </c>
      <c r="E27" s="41"/>
      <c r="F27" s="121"/>
      <c r="G27" s="121"/>
      <c r="H27" s="121"/>
    </row>
    <row r="28" spans="1:8" ht="15.75" x14ac:dyDescent="0.25">
      <c r="A28" s="41" t="s">
        <v>44</v>
      </c>
      <c r="B28" s="47">
        <f>B23*Parameters!$B$38</f>
        <v>5.506269980397701E-2</v>
      </c>
      <c r="C28" s="41">
        <v>0</v>
      </c>
      <c r="D28" s="41">
        <v>0</v>
      </c>
      <c r="E28" s="41"/>
      <c r="F28" s="121"/>
      <c r="G28" s="121"/>
      <c r="H28" s="121"/>
    </row>
    <row r="29" spans="1:8" ht="15.75" x14ac:dyDescent="0.25">
      <c r="A29" s="41" t="s">
        <v>57</v>
      </c>
      <c r="B29" s="47">
        <f>-CoveragebyFTQuantile!$H$66/100</f>
        <v>3.2049999999999995E-2</v>
      </c>
      <c r="C29" s="47">
        <f>B29</f>
        <v>3.2049999999999995E-2</v>
      </c>
      <c r="D29" s="47">
        <f>C29</f>
        <v>3.2049999999999995E-2</v>
      </c>
      <c r="E29" s="41"/>
      <c r="F29" s="121"/>
      <c r="G29" s="121"/>
      <c r="H29" s="121"/>
    </row>
    <row r="30" spans="1:8" ht="15.75" x14ac:dyDescent="0.25">
      <c r="A30" s="41"/>
      <c r="B30" s="41"/>
      <c r="C30" s="41"/>
      <c r="D30" s="41"/>
      <c r="E30" s="41"/>
      <c r="F30" s="41"/>
    </row>
    <row r="31" spans="1:8" ht="15.75" x14ac:dyDescent="0.25">
      <c r="A31" s="42" t="s">
        <v>43</v>
      </c>
      <c r="B31" s="48">
        <f>SUMPRODUCT(B$8:B$16,B$21:B$29)</f>
        <v>202.18915835914214</v>
      </c>
      <c r="C31" s="48">
        <f>SUMPRODUCT(C$8:C$16,C$21:C$29)</f>
        <v>209.23352732113102</v>
      </c>
      <c r="D31" s="48">
        <f>SUMPRODUCT(D$8:D$16,D$21:D$29)</f>
        <v>206.91976730947442</v>
      </c>
      <c r="E31" s="41"/>
      <c r="F31" s="41"/>
    </row>
    <row r="32" spans="1:8" ht="15.75" x14ac:dyDescent="0.25">
      <c r="A32" s="43" t="s">
        <v>78</v>
      </c>
      <c r="B32" s="49">
        <v>0.58255528942526302</v>
      </c>
      <c r="C32" s="49">
        <v>8.9078002007197496E-2</v>
      </c>
      <c r="D32" s="49">
        <v>0.32836670856754002</v>
      </c>
      <c r="E32" s="41"/>
      <c r="F32" s="41"/>
    </row>
    <row r="33" spans="1:6" ht="15.75" hidden="1" x14ac:dyDescent="0.25">
      <c r="A33" s="43"/>
      <c r="C33" s="51">
        <f>SUMPRODUCT(B31:D31,B32:D32)</f>
        <v>204.37003116221848</v>
      </c>
      <c r="D33" s="51"/>
      <c r="E33" s="41"/>
      <c r="F33" s="41"/>
    </row>
    <row r="34" spans="1:6" ht="15.75" x14ac:dyDescent="0.25">
      <c r="A34" s="42" t="s">
        <v>43</v>
      </c>
      <c r="B34" s="120" t="str">
        <f>TEXT(C33,"$0")&amp;"/month"</f>
        <v>$204/month</v>
      </c>
      <c r="C34" s="120"/>
      <c r="D34" s="120"/>
      <c r="E34" s="41"/>
      <c r="F34" s="46"/>
    </row>
    <row r="35" spans="1:6" ht="15.75" x14ac:dyDescent="0.25">
      <c r="A35" s="52" t="s">
        <v>328</v>
      </c>
      <c r="B35" s="119" t="str">
        <f>"= "&amp;TEXT(C33*Parameters!$B$9/(Parameters!B26*Parameters!$B$10),"0.0%")&amp;" of employer cost"</f>
        <v>= 4.8% of employer cost</v>
      </c>
      <c r="C35" s="119"/>
      <c r="D35" s="119"/>
      <c r="E35" s="41"/>
      <c r="F35" s="41"/>
    </row>
    <row r="36" spans="1:6" ht="15.75" x14ac:dyDescent="0.25">
      <c r="A36" s="41"/>
      <c r="B36" s="41"/>
      <c r="C36" s="41"/>
      <c r="D36" s="41"/>
      <c r="E36" s="41"/>
      <c r="F36" s="41"/>
    </row>
    <row r="37" spans="1:6" ht="15.75" x14ac:dyDescent="0.25">
      <c r="A37" s="41"/>
      <c r="B37" s="41"/>
      <c r="C37" s="41"/>
      <c r="D37" s="41"/>
      <c r="E37" s="41"/>
      <c r="F37" s="41"/>
    </row>
    <row r="38" spans="1:6" ht="15.75" x14ac:dyDescent="0.25">
      <c r="A38" s="41"/>
      <c r="B38" s="41"/>
      <c r="C38" s="41"/>
      <c r="D38" s="41"/>
      <c r="E38" s="41"/>
      <c r="F38" s="41"/>
    </row>
    <row r="39" spans="1:6" ht="15.75" x14ac:dyDescent="0.25">
      <c r="A39" s="41"/>
      <c r="B39" s="41"/>
      <c r="C39" s="41"/>
      <c r="D39" s="41"/>
      <c r="E39" s="41"/>
      <c r="F39" s="41"/>
    </row>
    <row r="40" spans="1:6" ht="15.75" x14ac:dyDescent="0.25">
      <c r="A40" s="41"/>
      <c r="B40" s="41"/>
      <c r="C40" s="41"/>
      <c r="D40" s="41"/>
      <c r="E40" s="41"/>
      <c r="F40" s="41"/>
    </row>
  </sheetData>
  <mergeCells count="5">
    <mergeCell ref="B6:D6"/>
    <mergeCell ref="B35:D35"/>
    <mergeCell ref="B34:D34"/>
    <mergeCell ref="F21:H29"/>
    <mergeCell ref="A4:J4"/>
  </mergeCells>
  <phoneticPr fontId="29" type="noConversion"/>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heetViews>
  <sheetFormatPr defaultColWidth="8.85546875" defaultRowHeight="15" x14ac:dyDescent="0.25"/>
  <cols>
    <col min="1" max="1" width="50.7109375" customWidth="1"/>
    <col min="2" max="3" width="9.42578125" customWidth="1"/>
    <col min="4" max="4" width="47.140625" bestFit="1" customWidth="1"/>
    <col min="5" max="5" width="29.42578125" bestFit="1" customWidth="1"/>
    <col min="6" max="6" width="20.7109375" customWidth="1"/>
  </cols>
  <sheetData>
    <row r="1" spans="1:6" x14ac:dyDescent="0.25">
      <c r="A1" s="1" t="s">
        <v>6</v>
      </c>
    </row>
    <row r="2" spans="1:6" x14ac:dyDescent="0.25">
      <c r="B2">
        <v>1</v>
      </c>
      <c r="C2">
        <v>1</v>
      </c>
    </row>
    <row r="3" spans="1:6" x14ac:dyDescent="0.25">
      <c r="A3" s="2" t="s">
        <v>30</v>
      </c>
      <c r="B3" s="15" t="s">
        <v>31</v>
      </c>
      <c r="C3" s="15" t="s">
        <v>62</v>
      </c>
      <c r="D3" s="2" t="s">
        <v>32</v>
      </c>
      <c r="E3" s="2" t="s">
        <v>63</v>
      </c>
      <c r="F3" s="2" t="s">
        <v>85</v>
      </c>
    </row>
    <row r="4" spans="1:6" x14ac:dyDescent="0.25">
      <c r="A4" t="s">
        <v>11</v>
      </c>
      <c r="B4" s="3">
        <v>2000</v>
      </c>
      <c r="D4" t="s">
        <v>1</v>
      </c>
      <c r="E4" t="s">
        <v>64</v>
      </c>
    </row>
    <row r="5" spans="1:6" x14ac:dyDescent="0.25">
      <c r="A5" t="s">
        <v>7</v>
      </c>
      <c r="B5" s="4">
        <v>0.39</v>
      </c>
      <c r="D5" t="s">
        <v>1</v>
      </c>
      <c r="E5" t="s">
        <v>64</v>
      </c>
    </row>
    <row r="6" spans="1:6" x14ac:dyDescent="0.25">
      <c r="A6" t="s">
        <v>8</v>
      </c>
      <c r="B6" s="5">
        <v>7.6499999999999999E-2</v>
      </c>
      <c r="D6" t="s">
        <v>1</v>
      </c>
      <c r="E6" t="s">
        <v>64</v>
      </c>
    </row>
    <row r="7" spans="1:6" x14ac:dyDescent="0.25">
      <c r="A7" t="s">
        <v>9</v>
      </c>
      <c r="B7" s="5">
        <v>7.6499999999999999E-2</v>
      </c>
      <c r="D7" t="s">
        <v>1</v>
      </c>
      <c r="E7" t="s">
        <v>64</v>
      </c>
    </row>
    <row r="8" spans="1:6" x14ac:dyDescent="0.25">
      <c r="A8" t="s">
        <v>10</v>
      </c>
      <c r="B8" s="33">
        <f>INDEX(C8:C8,1,$B$2)</f>
        <v>0.18</v>
      </c>
      <c r="C8" s="4">
        <v>0.18</v>
      </c>
      <c r="D8" t="s">
        <v>1</v>
      </c>
      <c r="E8" t="s">
        <v>64</v>
      </c>
    </row>
    <row r="9" spans="1:6" x14ac:dyDescent="0.25">
      <c r="A9" t="s">
        <v>49</v>
      </c>
      <c r="B9" s="17">
        <v>110.76</v>
      </c>
      <c r="D9" t="s">
        <v>1</v>
      </c>
      <c r="E9" t="s">
        <v>64</v>
      </c>
    </row>
    <row r="10" spans="1:6" x14ac:dyDescent="0.25">
      <c r="A10" t="s">
        <v>23</v>
      </c>
      <c r="B10">
        <f>(1.02^2)*VLOOKUP(DATE(2012,1,1),FREDconnect!$A$8:$B$25,2)</f>
        <v>120.467916</v>
      </c>
      <c r="D10" t="s">
        <v>1</v>
      </c>
      <c r="E10" t="s">
        <v>64</v>
      </c>
    </row>
    <row r="11" spans="1:6" x14ac:dyDescent="0.25">
      <c r="A11" t="s">
        <v>292</v>
      </c>
      <c r="B11" s="8">
        <f>B4*(1-B7-B8)*B9/(B10*12*(1+B6)*(1-B5))</f>
        <v>173.49917056162974</v>
      </c>
      <c r="D11" t="s">
        <v>1</v>
      </c>
      <c r="E11" t="s">
        <v>64</v>
      </c>
    </row>
    <row r="12" spans="1:6" x14ac:dyDescent="0.25">
      <c r="A12" t="s">
        <v>12</v>
      </c>
      <c r="B12" s="9">
        <v>1.6E-2</v>
      </c>
      <c r="D12" t="s">
        <v>65</v>
      </c>
      <c r="E12" t="s">
        <v>64</v>
      </c>
      <c r="F12" t="s">
        <v>89</v>
      </c>
    </row>
    <row r="13" spans="1:6" x14ac:dyDescent="0.25">
      <c r="A13" t="s">
        <v>24</v>
      </c>
      <c r="B13" s="12">
        <v>43.466293999999998</v>
      </c>
      <c r="D13" t="s">
        <v>65</v>
      </c>
      <c r="E13" t="s">
        <v>66</v>
      </c>
      <c r="F13" t="s">
        <v>142</v>
      </c>
    </row>
    <row r="14" spans="1:6" x14ac:dyDescent="0.25">
      <c r="A14" t="s">
        <v>162</v>
      </c>
      <c r="B14" s="12">
        <v>21.405196</v>
      </c>
      <c r="D14" t="s">
        <v>65</v>
      </c>
      <c r="E14" t="s">
        <v>66</v>
      </c>
      <c r="F14" t="s">
        <v>142</v>
      </c>
    </row>
    <row r="15" spans="1:6" x14ac:dyDescent="0.25">
      <c r="A15" t="s">
        <v>300</v>
      </c>
      <c r="B15" s="39">
        <v>0.5822063402237414</v>
      </c>
      <c r="D15" t="s">
        <v>65</v>
      </c>
      <c r="E15" t="s">
        <v>66</v>
      </c>
      <c r="F15" t="s">
        <v>301</v>
      </c>
    </row>
    <row r="16" spans="1:6" x14ac:dyDescent="0.25">
      <c r="A16" t="s">
        <v>157</v>
      </c>
      <c r="B16" s="12">
        <v>0.95</v>
      </c>
      <c r="E16" t="s">
        <v>68</v>
      </c>
      <c r="F16" t="s">
        <v>155</v>
      </c>
    </row>
    <row r="17" spans="1:6" x14ac:dyDescent="0.25">
      <c r="A17" t="s">
        <v>88</v>
      </c>
      <c r="B17" s="55">
        <f t="shared" ref="B17:B23" si="0">INDEX(C17:C17,1,$B$2)</f>
        <v>-0.05</v>
      </c>
      <c r="C17" s="56">
        <v>-0.05</v>
      </c>
      <c r="D17" t="s">
        <v>1</v>
      </c>
      <c r="E17" t="s">
        <v>68</v>
      </c>
      <c r="F17" t="s">
        <v>89</v>
      </c>
    </row>
    <row r="18" spans="1:6" x14ac:dyDescent="0.25">
      <c r="A18" t="s">
        <v>90</v>
      </c>
      <c r="B18" s="55">
        <f t="shared" si="0"/>
        <v>-0.1</v>
      </c>
      <c r="C18" s="56">
        <f>C17-0.05</f>
        <v>-0.1</v>
      </c>
      <c r="D18" t="s">
        <v>69</v>
      </c>
      <c r="E18" t="s">
        <v>68</v>
      </c>
    </row>
    <row r="19" spans="1:6" x14ac:dyDescent="0.25">
      <c r="A19" t="s">
        <v>86</v>
      </c>
      <c r="B19" s="36">
        <f t="shared" si="0"/>
        <v>0.24</v>
      </c>
      <c r="C19" s="39">
        <v>0.24</v>
      </c>
      <c r="D19" t="s">
        <v>1</v>
      </c>
      <c r="E19" t="s">
        <v>68</v>
      </c>
      <c r="F19" t="s">
        <v>156</v>
      </c>
    </row>
    <row r="20" spans="1:6" x14ac:dyDescent="0.25">
      <c r="A20" t="s">
        <v>87</v>
      </c>
      <c r="B20" s="36">
        <f t="shared" si="0"/>
        <v>0.27800000000000002</v>
      </c>
      <c r="C20" s="6">
        <f>1-(1-C19)*(1+C17)</f>
        <v>0.27800000000000002</v>
      </c>
      <c r="D20" t="s">
        <v>1</v>
      </c>
      <c r="E20" t="s">
        <v>68</v>
      </c>
    </row>
    <row r="21" spans="1:6" x14ac:dyDescent="0.25">
      <c r="A21" t="s">
        <v>149</v>
      </c>
      <c r="B21" s="36">
        <f t="shared" si="0"/>
        <v>0.85882352941176476</v>
      </c>
      <c r="C21" s="39">
        <f>1-12/85</f>
        <v>0.85882352941176476</v>
      </c>
      <c r="F21" t="s">
        <v>148</v>
      </c>
    </row>
    <row r="22" spans="1:6" x14ac:dyDescent="0.25">
      <c r="A22" t="s">
        <v>151</v>
      </c>
      <c r="B22" s="36">
        <f t="shared" si="0"/>
        <v>0.17647058823529413</v>
      </c>
      <c r="C22" s="39">
        <f>15/85</f>
        <v>0.17647058823529413</v>
      </c>
      <c r="F22" t="s">
        <v>148</v>
      </c>
    </row>
    <row r="23" spans="1:6" x14ac:dyDescent="0.25">
      <c r="A23" t="s">
        <v>158</v>
      </c>
      <c r="B23" s="53">
        <f t="shared" si="0"/>
        <v>56552.34</v>
      </c>
      <c r="C23" s="54">
        <f>56552.34</f>
        <v>56552.34</v>
      </c>
      <c r="D23" t="s">
        <v>67</v>
      </c>
      <c r="E23" t="s">
        <v>64</v>
      </c>
      <c r="F23" t="s">
        <v>142</v>
      </c>
    </row>
    <row r="24" spans="1:6" x14ac:dyDescent="0.25">
      <c r="A24" t="s">
        <v>33</v>
      </c>
      <c r="B24" s="12">
        <f>IF(FY2010dollars!$B$3=2014,0.01,IF(FY2010dollars!$B$3=2015,0.02,0.025))</f>
        <v>0.02</v>
      </c>
      <c r="D24" t="s">
        <v>67</v>
      </c>
      <c r="E24" t="s">
        <v>64</v>
      </c>
    </row>
    <row r="25" spans="1:6" x14ac:dyDescent="0.25">
      <c r="A25" t="s">
        <v>94</v>
      </c>
      <c r="B25" s="34">
        <f>INDEX(C25:C25,1,$B$2)</f>
        <v>726.51</v>
      </c>
      <c r="C25" s="12">
        <v>726.51</v>
      </c>
      <c r="D25" t="s">
        <v>73</v>
      </c>
      <c r="E25" t="s">
        <v>64</v>
      </c>
      <c r="F25" t="s">
        <v>381</v>
      </c>
    </row>
    <row r="26" spans="1:6" x14ac:dyDescent="0.25">
      <c r="A26" t="s">
        <v>48</v>
      </c>
      <c r="B26" s="35">
        <f>B25*52*1.234/12</f>
        <v>3884.8911399999997</v>
      </c>
    </row>
    <row r="27" spans="1:6" x14ac:dyDescent="0.25">
      <c r="A27" s="21" t="s">
        <v>42</v>
      </c>
      <c r="B27" s="28">
        <f t="shared" ref="B27:B34" si="1">INDEX(C27:C27,1,$B$2)</f>
        <v>0.24290790000000001</v>
      </c>
      <c r="C27" s="20">
        <v>0.24290790000000001</v>
      </c>
      <c r="D27" t="s">
        <v>71</v>
      </c>
      <c r="E27" t="s">
        <v>64</v>
      </c>
      <c r="F27" t="s">
        <v>142</v>
      </c>
    </row>
    <row r="28" spans="1:6" x14ac:dyDescent="0.25">
      <c r="A28" s="21" t="s">
        <v>46</v>
      </c>
      <c r="B28" s="28">
        <f t="shared" si="1"/>
        <v>0.23778089999999999</v>
      </c>
      <c r="C28" s="20">
        <v>0.23778089999999999</v>
      </c>
      <c r="D28" t="s">
        <v>72</v>
      </c>
      <c r="E28" t="s">
        <v>64</v>
      </c>
      <c r="F28" t="s">
        <v>142</v>
      </c>
    </row>
    <row r="29" spans="1:6" x14ac:dyDescent="0.25">
      <c r="A29" s="21" t="s">
        <v>312</v>
      </c>
      <c r="B29" s="28">
        <f t="shared" si="1"/>
        <v>4.4999999999999998E-2</v>
      </c>
      <c r="C29" s="20">
        <v>4.4999999999999998E-2</v>
      </c>
      <c r="F29" t="s">
        <v>382</v>
      </c>
    </row>
    <row r="30" spans="1:6" x14ac:dyDescent="0.25">
      <c r="A30" s="21" t="s">
        <v>330</v>
      </c>
      <c r="B30" s="114">
        <f t="shared" si="1"/>
        <v>0.5</v>
      </c>
      <c r="C30" s="38">
        <v>0.5</v>
      </c>
    </row>
    <row r="31" spans="1:6" x14ac:dyDescent="0.25">
      <c r="A31" s="21" t="s">
        <v>313</v>
      </c>
      <c r="B31" s="36">
        <f t="shared" si="1"/>
        <v>0.43103448275862066</v>
      </c>
      <c r="C31" s="12">
        <f>25/58</f>
        <v>0.43103448275862066</v>
      </c>
      <c r="F31" t="s">
        <v>314</v>
      </c>
    </row>
    <row r="32" spans="1:6" x14ac:dyDescent="0.25">
      <c r="A32" s="21" t="s">
        <v>332</v>
      </c>
      <c r="B32" s="111">
        <f t="shared" si="1"/>
        <v>42.954680000000003</v>
      </c>
      <c r="C32" s="112">
        <v>42.954680000000003</v>
      </c>
      <c r="F32" t="s">
        <v>142</v>
      </c>
    </row>
    <row r="33" spans="1:6" x14ac:dyDescent="0.25">
      <c r="A33" s="21" t="s">
        <v>333</v>
      </c>
      <c r="B33" s="114">
        <f t="shared" si="1"/>
        <v>0.32678089999999999</v>
      </c>
      <c r="C33" s="4">
        <v>0.32678089999999999</v>
      </c>
      <c r="F33" t="s">
        <v>142</v>
      </c>
    </row>
    <row r="34" spans="1:6" x14ac:dyDescent="0.25">
      <c r="A34" s="21" t="s">
        <v>51</v>
      </c>
      <c r="B34" s="37">
        <f t="shared" si="1"/>
        <v>459.35390000000001</v>
      </c>
      <c r="C34" s="26">
        <v>459.35390000000001</v>
      </c>
      <c r="D34" t="s">
        <v>70</v>
      </c>
      <c r="E34" t="s">
        <v>64</v>
      </c>
      <c r="F34" t="s">
        <v>142</v>
      </c>
    </row>
    <row r="35" spans="1:6" x14ac:dyDescent="0.25">
      <c r="A35" s="21" t="s">
        <v>41</v>
      </c>
      <c r="B35" s="12">
        <v>0.5</v>
      </c>
      <c r="D35" t="s">
        <v>74</v>
      </c>
      <c r="E35" t="s">
        <v>68</v>
      </c>
      <c r="F35" t="s">
        <v>89</v>
      </c>
    </row>
    <row r="36" spans="1:6" x14ac:dyDescent="0.25">
      <c r="A36" s="21" t="s">
        <v>93</v>
      </c>
      <c r="B36" s="12">
        <v>0.48</v>
      </c>
      <c r="C36" s="18"/>
      <c r="D36" t="s">
        <v>75</v>
      </c>
    </row>
    <row r="37" spans="1:6" x14ac:dyDescent="0.25">
      <c r="A37" s="23" t="s">
        <v>45</v>
      </c>
      <c r="B37" s="36">
        <f>INDEX(C37:C37,1,$B$2)</f>
        <v>1163.0899999999999</v>
      </c>
      <c r="C37" s="17">
        <v>1163.0899999999999</v>
      </c>
      <c r="D37" t="s">
        <v>72</v>
      </c>
      <c r="E37" t="s">
        <v>64</v>
      </c>
      <c r="F37" t="s">
        <v>317</v>
      </c>
    </row>
    <row r="38" spans="1:6" x14ac:dyDescent="0.25">
      <c r="A38" s="23" t="s">
        <v>316</v>
      </c>
      <c r="B38" s="17">
        <f>0.629454952398174*0.979247426344434</f>
        <v>0.61639214213567006</v>
      </c>
      <c r="D38" t="s">
        <v>72</v>
      </c>
      <c r="E38" t="s">
        <v>68</v>
      </c>
      <c r="F38" t="s">
        <v>317</v>
      </c>
    </row>
    <row r="39" spans="1:6" x14ac:dyDescent="0.25">
      <c r="A39" s="23" t="s">
        <v>318</v>
      </c>
      <c r="B39" s="17">
        <f>357.994990461585/2</f>
        <v>178.99749523079251</v>
      </c>
      <c r="F39" t="s">
        <v>319</v>
      </c>
    </row>
    <row r="40" spans="1:6" x14ac:dyDescent="0.25">
      <c r="A40" s="23" t="s">
        <v>320</v>
      </c>
      <c r="B40" s="17">
        <v>0.93587391966173039</v>
      </c>
      <c r="F40" t="s">
        <v>321</v>
      </c>
    </row>
    <row r="41" spans="1:6" x14ac:dyDescent="0.25">
      <c r="A41" s="23" t="s">
        <v>383</v>
      </c>
      <c r="B41" s="17">
        <v>0.13880000000000001</v>
      </c>
      <c r="F41" t="s">
        <v>322</v>
      </c>
    </row>
    <row r="42" spans="1:6" x14ac:dyDescent="0.25">
      <c r="A42" s="23" t="s">
        <v>323</v>
      </c>
      <c r="B42" s="17">
        <v>0.27400000000000002</v>
      </c>
      <c r="F42" t="s">
        <v>324</v>
      </c>
    </row>
    <row r="43" spans="1:6" x14ac:dyDescent="0.25">
      <c r="A43" s="23" t="s">
        <v>334</v>
      </c>
      <c r="B43" s="17">
        <f>(22.8/15.9-1)*B42</f>
        <v>0.11890566037735847</v>
      </c>
      <c r="F43" t="s">
        <v>336</v>
      </c>
    </row>
    <row r="44" spans="1:6" x14ac:dyDescent="0.25">
      <c r="A44" s="23" t="s">
        <v>335</v>
      </c>
      <c r="B44" s="17">
        <v>0.62390000000000001</v>
      </c>
      <c r="F44" t="s">
        <v>322</v>
      </c>
    </row>
    <row r="45" spans="1:6" x14ac:dyDescent="0.25">
      <c r="A45" s="23" t="s">
        <v>327</v>
      </c>
      <c r="B45" s="20">
        <v>-5.0159916005051E-2</v>
      </c>
      <c r="F45" t="s">
        <v>326</v>
      </c>
    </row>
    <row r="46" spans="1:6" x14ac:dyDescent="0.25">
      <c r="A46" s="23" t="s">
        <v>52</v>
      </c>
      <c r="B46" s="17">
        <v>30</v>
      </c>
      <c r="D46" t="s">
        <v>76</v>
      </c>
      <c r="E46" t="s">
        <v>64</v>
      </c>
    </row>
    <row r="47" spans="1:6" x14ac:dyDescent="0.25">
      <c r="A47" s="23" t="s">
        <v>53</v>
      </c>
      <c r="B47" s="17">
        <v>510.37599999999998</v>
      </c>
      <c r="D47" t="s">
        <v>76</v>
      </c>
      <c r="E47" t="s">
        <v>64</v>
      </c>
    </row>
    <row r="48" spans="1:6" x14ac:dyDescent="0.25">
      <c r="A48" s="23" t="s">
        <v>54</v>
      </c>
      <c r="B48" s="27">
        <f>B46/B47</f>
        <v>5.878019342602317E-2</v>
      </c>
      <c r="D48" t="s">
        <v>76</v>
      </c>
      <c r="E48" t="s">
        <v>64</v>
      </c>
    </row>
    <row r="49" spans="1:5" x14ac:dyDescent="0.25">
      <c r="A49" s="23" t="s">
        <v>55</v>
      </c>
      <c r="B49" s="8">
        <f>B48*B25*52/12</f>
        <v>185.05239274574038</v>
      </c>
      <c r="D49" t="s">
        <v>76</v>
      </c>
      <c r="E49" t="s">
        <v>64</v>
      </c>
    </row>
  </sheetData>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ColWidth="8.85546875" defaultRowHeight="15" x14ac:dyDescent="0.25"/>
  <cols>
    <col min="1" max="1" width="38" bestFit="1" customWidth="1"/>
    <col min="2" max="2" width="12.7109375" customWidth="1"/>
    <col min="3" max="3" width="10.7109375" customWidth="1"/>
    <col min="4" max="4" width="14.7109375" customWidth="1"/>
    <col min="5" max="5" width="2.7109375" customWidth="1"/>
  </cols>
  <sheetData>
    <row r="1" spans="1:6" ht="15.75" x14ac:dyDescent="0.25">
      <c r="A1" s="50" t="s">
        <v>91</v>
      </c>
      <c r="B1" s="41"/>
      <c r="C1" s="41"/>
      <c r="D1" s="41"/>
      <c r="E1" s="41"/>
    </row>
    <row r="2" spans="1:6" ht="15.75" x14ac:dyDescent="0.25">
      <c r="A2" s="41" t="str">
        <f>"Calendar year "&amp;TEXT(FY2010dollars!$B$3,"0")&amp;", average among household heads and spouses with median earnings potential"</f>
        <v>Calendar year 2015, average among household heads and spouses with median earnings potential</v>
      </c>
      <c r="B2" s="41"/>
      <c r="C2" s="41"/>
      <c r="D2" s="41"/>
      <c r="E2" s="41"/>
    </row>
    <row r="3" spans="1:6" ht="15.75" x14ac:dyDescent="0.25">
      <c r="A3" s="41"/>
      <c r="B3" s="41"/>
      <c r="C3" s="41"/>
      <c r="D3" s="41"/>
      <c r="E3" s="41"/>
    </row>
    <row r="4" spans="1:6" ht="15.75" x14ac:dyDescent="0.25">
      <c r="A4" s="42" t="s">
        <v>0</v>
      </c>
      <c r="B4" s="41"/>
      <c r="C4" s="41"/>
      <c r="D4" s="41"/>
      <c r="E4" s="41"/>
    </row>
    <row r="5" spans="1:6" ht="15.75" x14ac:dyDescent="0.25">
      <c r="A5" s="41" t="s">
        <v>81</v>
      </c>
      <c r="B5" s="41"/>
      <c r="C5" s="41"/>
      <c r="D5" s="41"/>
      <c r="E5" s="41"/>
    </row>
    <row r="6" spans="1:6" ht="15.75" x14ac:dyDescent="0.25">
      <c r="A6" s="41"/>
      <c r="B6" s="41"/>
      <c r="C6" s="41"/>
      <c r="D6" s="41"/>
      <c r="E6" s="41"/>
    </row>
    <row r="7" spans="1:6" ht="15.75" x14ac:dyDescent="0.25">
      <c r="A7" s="41"/>
      <c r="B7" s="118" t="s">
        <v>47</v>
      </c>
      <c r="C7" s="118"/>
      <c r="D7" s="118"/>
      <c r="E7" s="41"/>
    </row>
    <row r="8" spans="1:6" ht="15.75" x14ac:dyDescent="0.25">
      <c r="A8" s="43" t="s">
        <v>2</v>
      </c>
      <c r="B8" s="44" t="s">
        <v>3</v>
      </c>
      <c r="C8" s="44" t="s">
        <v>4</v>
      </c>
      <c r="D8" s="44" t="s">
        <v>5</v>
      </c>
      <c r="E8" s="44"/>
      <c r="F8" s="44" t="s">
        <v>92</v>
      </c>
    </row>
    <row r="9" spans="1:6" ht="15.75" x14ac:dyDescent="0.25">
      <c r="A9" s="41" t="s">
        <v>77</v>
      </c>
      <c r="B9" s="46">
        <f>Table1!B8*Table1!B21*Table1!B$32</f>
        <v>25.843419246884885</v>
      </c>
      <c r="C9" s="46">
        <f>Table1!C8*Table1!C21*Table1!C$32</f>
        <v>3.9516938449190682</v>
      </c>
      <c r="D9" s="46">
        <f>Table1!D8*Table1!D21*Table1!D$32</f>
        <v>16.709919697974701</v>
      </c>
      <c r="E9" s="46"/>
      <c r="F9" s="46">
        <f t="shared" ref="F9:F17" si="0">SUM(B9:D9)</f>
        <v>46.505032789778653</v>
      </c>
    </row>
    <row r="10" spans="1:6" ht="15.75" x14ac:dyDescent="0.25">
      <c r="A10" s="41" t="s">
        <v>29</v>
      </c>
      <c r="B10" s="46">
        <f>Table1!B9*Table1!B22*Table1!B$32</f>
        <v>5.5450675059728276</v>
      </c>
      <c r="C10" s="46">
        <f>Table1!C9*Table1!C22*Table1!C$32</f>
        <v>0</v>
      </c>
      <c r="D10" s="46">
        <f>Table1!D9*Table1!D22*Table1!D$32</f>
        <v>0</v>
      </c>
      <c r="E10" s="41"/>
      <c r="F10" s="46">
        <f t="shared" si="0"/>
        <v>5.5450675059728276</v>
      </c>
    </row>
    <row r="11" spans="1:6" ht="15.75" x14ac:dyDescent="0.25">
      <c r="A11" s="41" t="s">
        <v>36</v>
      </c>
      <c r="B11" s="46">
        <f>Table1!B10*Table1!B23*Table1!B$32</f>
        <v>43.284394021493505</v>
      </c>
      <c r="C11" s="46">
        <f>Table1!C10*Table1!C23*Table1!C$32</f>
        <v>6.6185775110391107</v>
      </c>
      <c r="D11" s="46">
        <f>Table1!D10*Table1!D23*Table1!D$32</f>
        <v>23.727650396426821</v>
      </c>
      <c r="E11" s="41"/>
      <c r="F11" s="46">
        <f t="shared" si="0"/>
        <v>73.630621928959442</v>
      </c>
    </row>
    <row r="12" spans="1:6" ht="15.75" x14ac:dyDescent="0.25">
      <c r="A12" s="110" t="s">
        <v>311</v>
      </c>
      <c r="B12" s="46">
        <f>Table1!B11*Table1!B24*Table1!B$32</f>
        <v>4.0093338482758432</v>
      </c>
      <c r="C12" s="46">
        <f>Table1!C11*Table1!C24*Table1!C$32</f>
        <v>0.61306360969890217</v>
      </c>
      <c r="D12" s="46">
        <f>Table1!D11*Table1!D24*Table1!D$32</f>
        <v>2.2599258528845056</v>
      </c>
      <c r="E12" s="41"/>
      <c r="F12" s="46">
        <f t="shared" si="0"/>
        <v>6.8823233108592508</v>
      </c>
    </row>
    <row r="13" spans="1:6" ht="15.75" x14ac:dyDescent="0.25">
      <c r="A13" s="41" t="s">
        <v>35</v>
      </c>
      <c r="B13" s="46">
        <f>Table1!B12*Table1!B25*Table1!B$32</f>
        <v>48.557316788618813</v>
      </c>
      <c r="C13" s="46">
        <f>Table1!C12*Table1!C25*Table1!C$32</f>
        <v>7.4248553585841615</v>
      </c>
      <c r="D13" s="46">
        <f>Table1!D12*Table1!D25*Table1!D$32</f>
        <v>25.137794623651498</v>
      </c>
      <c r="E13" s="41"/>
      <c r="F13" s="46">
        <f t="shared" si="0"/>
        <v>81.119966770854475</v>
      </c>
    </row>
    <row r="14" spans="1:6" ht="15.75" x14ac:dyDescent="0.25">
      <c r="A14" s="113" t="s">
        <v>325</v>
      </c>
      <c r="B14" s="46">
        <f>Table1!B13*Table1!B26*Table1!B$32</f>
        <v>-4.1303548863261783</v>
      </c>
      <c r="C14" s="46">
        <f>Table1!C13*Table1!C26*Table1!C$32</f>
        <v>-0.63156882708521489</v>
      </c>
      <c r="D14" s="46">
        <f>Table1!D13*Table1!D26*Table1!D$32</f>
        <v>-2.3281413178427268</v>
      </c>
      <c r="E14" s="41"/>
      <c r="F14" s="46">
        <f t="shared" ref="F14:F15" si="1">SUM(B14:D14)</f>
        <v>-7.0900650312541202</v>
      </c>
    </row>
    <row r="15" spans="1:6" ht="15.75" x14ac:dyDescent="0.25">
      <c r="A15" s="113" t="s">
        <v>331</v>
      </c>
      <c r="B15" s="46">
        <f>Table1!B14*Table1!B27*Table1!B$32</f>
        <v>8.0839160439197588</v>
      </c>
      <c r="C15" s="46">
        <f>Table1!C14*Table1!C27*Table1!C$32</f>
        <v>1.2361042851344379</v>
      </c>
      <c r="D15" s="46">
        <f>Table1!D14*Table1!D27*Table1!D$32</f>
        <v>4.5566299918023656</v>
      </c>
      <c r="E15" s="41"/>
      <c r="F15" s="46">
        <f t="shared" si="1"/>
        <v>13.876650320856562</v>
      </c>
    </row>
    <row r="16" spans="1:6" ht="15.75" x14ac:dyDescent="0.25">
      <c r="A16" s="41" t="s">
        <v>44</v>
      </c>
      <c r="B16" s="46">
        <f>Table1!B15*Table1!B28*Table1!B$32</f>
        <v>-9.6488019054425962</v>
      </c>
      <c r="C16" s="46">
        <f>Table1!C15*Table1!C28*Table1!C$32</f>
        <v>0</v>
      </c>
      <c r="D16" s="46">
        <f>Table1!D15*Table1!D28*Table1!D$32</f>
        <v>0</v>
      </c>
      <c r="E16" s="41"/>
      <c r="F16" s="46">
        <f t="shared" si="0"/>
        <v>-9.6488019054425962</v>
      </c>
    </row>
    <row r="17" spans="1:7" ht="15.75" x14ac:dyDescent="0.25">
      <c r="A17" s="43" t="s">
        <v>57</v>
      </c>
      <c r="B17" s="57">
        <f>Table1!B16*Table1!B29*Table1!B$32</f>
        <v>-3.7579269968364648</v>
      </c>
      <c r="C17" s="57">
        <f>Table1!C16*Table1!C29*Table1!C$32</f>
        <v>-0.57462121560574331</v>
      </c>
      <c r="D17" s="57">
        <f>Table1!D16*Table1!D29*Table1!D$32</f>
        <v>-2.1182163159237772</v>
      </c>
      <c r="E17" s="41"/>
      <c r="F17" s="46">
        <f t="shared" si="0"/>
        <v>-6.4507645283659851</v>
      </c>
    </row>
    <row r="18" spans="1:7" ht="15.75" x14ac:dyDescent="0.25">
      <c r="A18" s="41"/>
      <c r="B18" s="41"/>
      <c r="C18" s="41"/>
      <c r="D18" s="41"/>
      <c r="E18" s="41"/>
    </row>
    <row r="19" spans="1:7" ht="15.75" x14ac:dyDescent="0.25">
      <c r="A19" s="42" t="s">
        <v>43</v>
      </c>
      <c r="B19" s="120" t="str">
        <f>TEXT(SUM(B9:D17),"$0")&amp;"/month"</f>
        <v>$204/month</v>
      </c>
      <c r="C19" s="120"/>
      <c r="D19" s="120"/>
      <c r="E19" s="41"/>
    </row>
    <row r="20" spans="1:7" ht="15.75" x14ac:dyDescent="0.25">
      <c r="A20" s="52" t="s">
        <v>82</v>
      </c>
      <c r="B20" s="119"/>
      <c r="C20" s="119"/>
      <c r="D20" s="119"/>
      <c r="E20" s="41"/>
    </row>
    <row r="21" spans="1:7" ht="15.75" x14ac:dyDescent="0.25">
      <c r="A21" s="41"/>
      <c r="B21" s="41"/>
      <c r="C21" s="41"/>
      <c r="D21" s="41"/>
      <c r="E21" s="41"/>
    </row>
    <row r="22" spans="1:7" ht="15.75" x14ac:dyDescent="0.25">
      <c r="A22" s="43" t="s">
        <v>337</v>
      </c>
      <c r="B22" s="41"/>
      <c r="C22" s="41"/>
      <c r="D22" s="41"/>
      <c r="E22" s="41"/>
    </row>
    <row r="23" spans="1:7" x14ac:dyDescent="0.25">
      <c r="A23" t="str">
        <f>A17&amp;"       "</f>
        <v xml:space="preserve">Move off implicit uncompensated care tax       </v>
      </c>
      <c r="F23" s="8">
        <f>F17</f>
        <v>-6.4507645283659851</v>
      </c>
      <c r="G23" s="7">
        <f>F23*100*Parameters!$B$9/(Parameters!$B$10*Parameters!$B$26)</f>
        <v>-0.1526665477555951</v>
      </c>
    </row>
    <row r="24" spans="1:7" x14ac:dyDescent="0.25">
      <c r="A24" t="str">
        <f>A14&amp;"       "</f>
        <v xml:space="preserve">HI subsidies stop at the poverty line       </v>
      </c>
      <c r="F24" s="8">
        <f>F14</f>
        <v>-7.0900650312541202</v>
      </c>
      <c r="G24" s="7">
        <f>F24*100*Parameters!$B$9/(Parameters!$B$10*Parameters!$B$26)</f>
        <v>-0.16779650643338767</v>
      </c>
    </row>
    <row r="25" spans="1:7" x14ac:dyDescent="0.25">
      <c r="A25" t="str">
        <f>A16&amp;"       "</f>
        <v xml:space="preserve">Implicit taxation of unemployment benefits       </v>
      </c>
      <c r="F25" s="8">
        <f>F16</f>
        <v>-9.6488019054425962</v>
      </c>
      <c r="G25" s="7">
        <f>F25*100*Parameters!$B$9/(Parameters!$B$10*Parameters!$B$26)</f>
        <v>-0.22835266585907465</v>
      </c>
    </row>
    <row r="26" spans="1:7" x14ac:dyDescent="0.25">
      <c r="A26" t="str">
        <f>A10</f>
        <v>Individual mandate penalty</v>
      </c>
      <c r="F26" s="8">
        <f>F10</f>
        <v>5.5450675059728276</v>
      </c>
      <c r="G26" s="7">
        <f>F26*100*Parameters!$B$9/(Parameters!$B$10*Parameters!$B$26)</f>
        <v>0.13123193529791333</v>
      </c>
    </row>
    <row r="27" spans="1:7" x14ac:dyDescent="0.25">
      <c r="A27" t="str">
        <f>A12</f>
        <v>Reconcile advance premium credits</v>
      </c>
      <c r="F27" s="8">
        <f>F12</f>
        <v>6.8823233108592508</v>
      </c>
      <c r="G27" s="7">
        <f>F27*100*Parameters!$B$9/(Parameters!$B$10*Parameters!$B$26)</f>
        <v>0.16288000217439147</v>
      </c>
    </row>
    <row r="28" spans="1:7" x14ac:dyDescent="0.25">
      <c r="A28" t="str">
        <f>A15</f>
        <v>Medicaid expansions for the poor</v>
      </c>
      <c r="F28" s="8">
        <f>F15</f>
        <v>13.876650320856562</v>
      </c>
      <c r="G28" s="7">
        <f>F28*100*Parameters!$B$9/(Parameters!$B$10*Parameters!$B$26)</f>
        <v>0.32841073171731017</v>
      </c>
    </row>
    <row r="29" spans="1:7" ht="15.75" x14ac:dyDescent="0.25">
      <c r="A29" s="41" t="str">
        <f>A9</f>
        <v>Employer shared responsibility penalty</v>
      </c>
      <c r="B29" s="41"/>
      <c r="C29" s="41"/>
      <c r="D29" s="41"/>
      <c r="E29" s="41"/>
      <c r="F29" s="8">
        <f>F9</f>
        <v>46.505032789778653</v>
      </c>
      <c r="G29" s="7">
        <f>F29*100*Parameters!$B$9/(Parameters!$B$10*Parameters!$B$26)</f>
        <v>1.1006079632974399</v>
      </c>
    </row>
    <row r="30" spans="1:7" ht="15.75" x14ac:dyDescent="0.25">
      <c r="A30" s="41" t="str">
        <f>A11</f>
        <v>HI subsidies for persons w/o ESI at work</v>
      </c>
      <c r="B30" s="41"/>
      <c r="C30" s="41"/>
      <c r="D30" s="41"/>
      <c r="E30" s="41"/>
      <c r="F30" s="8">
        <f>F11</f>
        <v>73.630621928959442</v>
      </c>
      <c r="G30" s="7">
        <f>F30*100*Parameters!$B$9/(Parameters!$B$10*Parameters!$B$26)</f>
        <v>1.742573738285103</v>
      </c>
    </row>
    <row r="31" spans="1:7" ht="15.75" x14ac:dyDescent="0.25">
      <c r="A31" s="41" t="str">
        <f>A13</f>
        <v>HI subsidies for persons w/ ESI at work</v>
      </c>
      <c r="B31" s="41"/>
      <c r="C31" s="41"/>
      <c r="D31" s="41"/>
      <c r="E31" s="41"/>
      <c r="F31" s="8">
        <f>F13</f>
        <v>81.119966770854475</v>
      </c>
      <c r="G31" s="7">
        <f>F31*100*Parameters!$B$9/(Parameters!$B$10*Parameters!$B$26)</f>
        <v>1.9198197712065541</v>
      </c>
    </row>
  </sheetData>
  <mergeCells count="3">
    <mergeCell ref="B7:D7"/>
    <mergeCell ref="B19:D19"/>
    <mergeCell ref="B20:D20"/>
  </mergeCells>
  <pageMargins left="0.7" right="0.7" top="0.75" bottom="0.75" header="0.3" footer="0.3"/>
  <pageSetup orientation="landscape"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ColWidth="8.85546875" defaultRowHeight="15" x14ac:dyDescent="0.25"/>
  <cols>
    <col min="1" max="1" width="10.42578125" bestFit="1" customWidth="1"/>
    <col min="2" max="2" width="11.42578125" bestFit="1" customWidth="1"/>
    <col min="3" max="3" width="16.28515625" bestFit="1" customWidth="1"/>
    <col min="4" max="4" width="3.7109375" customWidth="1"/>
    <col min="6" max="6" width="3.7109375" customWidth="1"/>
    <col min="8" max="8" width="3.7109375" customWidth="1"/>
    <col min="9" max="9" width="9.140625" customWidth="1"/>
    <col min="10" max="10" width="3.7109375" customWidth="1"/>
  </cols>
  <sheetData>
    <row r="1" spans="1:12" x14ac:dyDescent="0.25">
      <c r="A1" s="14" t="s">
        <v>288</v>
      </c>
    </row>
    <row r="2" spans="1:12" ht="15.75" x14ac:dyDescent="0.25">
      <c r="A2" s="41" t="s">
        <v>159</v>
      </c>
      <c r="B2" s="41"/>
      <c r="C2" s="41"/>
      <c r="D2" s="41"/>
      <c r="E2" s="41"/>
      <c r="F2" s="41"/>
      <c r="G2" s="41"/>
      <c r="H2" s="41"/>
      <c r="I2" s="41"/>
      <c r="J2" s="41"/>
      <c r="K2" s="41"/>
    </row>
    <row r="3" spans="1:12" ht="15.75" x14ac:dyDescent="0.25">
      <c r="A3" s="41"/>
      <c r="B3" s="41"/>
      <c r="C3" s="41"/>
      <c r="D3" s="118" t="s">
        <v>116</v>
      </c>
      <c r="E3" s="118"/>
      <c r="F3" s="118"/>
      <c r="G3" s="118"/>
      <c r="H3" s="118"/>
      <c r="I3" s="118"/>
      <c r="J3" s="118"/>
      <c r="K3" s="41"/>
    </row>
    <row r="4" spans="1:12" ht="15.75" x14ac:dyDescent="0.25">
      <c r="A4" s="41"/>
      <c r="B4" s="41"/>
      <c r="C4" s="41"/>
      <c r="D4" s="60" t="s">
        <v>106</v>
      </c>
      <c r="E4" s="118" t="s">
        <v>108</v>
      </c>
      <c r="F4" s="118"/>
      <c r="G4" s="118" t="s">
        <v>108</v>
      </c>
      <c r="H4" s="118"/>
      <c r="I4" s="118" t="s">
        <v>109</v>
      </c>
      <c r="J4" s="118"/>
      <c r="K4" s="61"/>
      <c r="L4" s="59"/>
    </row>
    <row r="5" spans="1:12" ht="15.75" x14ac:dyDescent="0.25">
      <c r="A5" s="41"/>
      <c r="B5" s="41"/>
      <c r="C5" s="41"/>
      <c r="D5" s="60" t="s">
        <v>107</v>
      </c>
      <c r="E5" s="118" t="s">
        <v>108</v>
      </c>
      <c r="F5" s="118"/>
      <c r="G5" s="118" t="s">
        <v>109</v>
      </c>
      <c r="H5" s="118"/>
      <c r="I5" s="118" t="s">
        <v>109</v>
      </c>
      <c r="J5" s="118"/>
      <c r="K5" s="61"/>
    </row>
    <row r="6" spans="1:12" ht="15.75" x14ac:dyDescent="0.25">
      <c r="A6" s="43" t="s">
        <v>95</v>
      </c>
      <c r="B6" s="43" t="s">
        <v>98</v>
      </c>
      <c r="C6" s="43" t="s">
        <v>102</v>
      </c>
      <c r="D6" s="41"/>
      <c r="E6" s="62"/>
      <c r="F6" s="62"/>
      <c r="G6" s="62"/>
      <c r="H6" s="62"/>
      <c r="I6" s="63"/>
      <c r="J6" s="63"/>
      <c r="K6" s="61"/>
      <c r="L6" s="72" t="s">
        <v>119</v>
      </c>
    </row>
    <row r="7" spans="1:12" ht="15.75" x14ac:dyDescent="0.25">
      <c r="A7" s="41"/>
      <c r="B7" s="41"/>
      <c r="C7" s="130" t="s">
        <v>103</v>
      </c>
      <c r="D7" s="41"/>
      <c r="E7" s="127">
        <f>CoveragebyFTQuantile!B56*Parameters!$B$22*Parameters!$B$36/100</f>
        <v>2.8172752941176476E-2</v>
      </c>
      <c r="F7" s="67"/>
      <c r="G7" s="127">
        <f>CoveragebyFTQuantile!B56*(1-Parameters!$B$22)*Parameters!$B$36/100</f>
        <v>0.13147284705882353</v>
      </c>
      <c r="H7" s="70"/>
      <c r="I7" s="127">
        <f>CoveragebyFTQuantile!B57/100</f>
        <v>5.5792089941324195E-2</v>
      </c>
      <c r="J7" s="66"/>
      <c r="K7" s="41"/>
      <c r="L7" t="s">
        <v>120</v>
      </c>
    </row>
    <row r="8" spans="1:12" ht="15.75" x14ac:dyDescent="0.25">
      <c r="A8" s="41"/>
      <c r="B8" s="41"/>
      <c r="C8" s="130"/>
      <c r="D8" s="41"/>
      <c r="E8" s="127"/>
      <c r="F8" s="67"/>
      <c r="G8" s="127"/>
      <c r="H8" s="70"/>
      <c r="I8" s="127"/>
      <c r="J8" s="69"/>
      <c r="K8" s="41"/>
      <c r="L8" t="s">
        <v>126</v>
      </c>
    </row>
    <row r="9" spans="1:12" ht="15.75" x14ac:dyDescent="0.25">
      <c r="A9" s="130" t="s">
        <v>96</v>
      </c>
      <c r="B9" s="132" t="s">
        <v>99</v>
      </c>
      <c r="C9" s="130" t="s">
        <v>104</v>
      </c>
      <c r="D9" s="41"/>
      <c r="E9" s="127">
        <f>E7</f>
        <v>2.8172752941176476E-2</v>
      </c>
      <c r="F9" s="70"/>
      <c r="G9" s="127">
        <f>G7</f>
        <v>0.13147284705882353</v>
      </c>
      <c r="H9" s="70"/>
      <c r="I9" s="127">
        <f>I7</f>
        <v>5.5792089941324195E-2</v>
      </c>
      <c r="J9" s="66"/>
      <c r="K9" s="41"/>
      <c r="L9" t="s">
        <v>150</v>
      </c>
    </row>
    <row r="10" spans="1:12" ht="15.75" x14ac:dyDescent="0.25">
      <c r="A10" s="130"/>
      <c r="B10" s="130"/>
      <c r="C10" s="130"/>
      <c r="D10" s="41"/>
      <c r="E10" s="127"/>
      <c r="F10" s="70"/>
      <c r="G10" s="127"/>
      <c r="H10" s="70"/>
      <c r="I10" s="127"/>
      <c r="J10" s="69"/>
      <c r="K10" s="41"/>
      <c r="L10" t="s">
        <v>152</v>
      </c>
    </row>
    <row r="11" spans="1:12" ht="15.75" x14ac:dyDescent="0.25">
      <c r="A11" s="41"/>
      <c r="B11" s="41"/>
      <c r="C11" s="130" t="s">
        <v>105</v>
      </c>
      <c r="D11" s="41"/>
      <c r="E11" s="127">
        <f>CoveragebyFTQuantile!C56*Parameters!$B$36/100</f>
        <v>4.5599999999999998E-3</v>
      </c>
      <c r="F11" s="70"/>
      <c r="G11" s="127">
        <f>CoveragebyFTQuantile!$C$57*Parameters!$B$21/100</f>
        <v>1.0932131182347666E-2</v>
      </c>
      <c r="H11" s="66"/>
      <c r="I11" s="127">
        <f>CoveragebyFTQuantile!$C$57*(1-Parameters!$B$21)/100</f>
        <v>1.7970626601119442E-3</v>
      </c>
      <c r="J11" s="66"/>
      <c r="K11" s="41"/>
    </row>
    <row r="12" spans="1:12" ht="15.75" x14ac:dyDescent="0.25">
      <c r="A12" s="41"/>
      <c r="B12" s="41"/>
      <c r="C12" s="130"/>
      <c r="D12" s="41"/>
      <c r="E12" s="127"/>
      <c r="F12" s="70"/>
      <c r="G12" s="127"/>
      <c r="H12" s="66"/>
      <c r="I12" s="127"/>
      <c r="J12" s="66"/>
      <c r="K12" s="41"/>
    </row>
    <row r="13" spans="1:12" ht="9.9499999999999993" customHeight="1" x14ac:dyDescent="0.25">
      <c r="A13" s="41"/>
      <c r="B13" s="41"/>
      <c r="C13" s="79"/>
      <c r="D13" s="41"/>
      <c r="E13" s="80"/>
      <c r="F13" s="41"/>
      <c r="G13" s="41"/>
      <c r="H13" s="41"/>
      <c r="I13" s="41"/>
      <c r="J13" s="41"/>
      <c r="K13" s="41"/>
    </row>
    <row r="14" spans="1:12" ht="15.75" x14ac:dyDescent="0.25">
      <c r="A14" s="41"/>
      <c r="B14" s="41"/>
      <c r="C14" s="130" t="s">
        <v>103</v>
      </c>
      <c r="D14" s="41"/>
      <c r="E14" s="127">
        <v>0</v>
      </c>
      <c r="F14" s="66"/>
      <c r="G14" s="127">
        <v>0</v>
      </c>
      <c r="H14" s="66"/>
      <c r="I14" s="127">
        <f>CoveragebyFTQuantile!B59/100</f>
        <v>2.3066856213730291E-3</v>
      </c>
      <c r="J14" s="66"/>
      <c r="K14" s="41"/>
    </row>
    <row r="15" spans="1:12" ht="15.75" x14ac:dyDescent="0.25">
      <c r="A15" s="41"/>
      <c r="B15" s="41"/>
      <c r="C15" s="130"/>
      <c r="D15" s="41"/>
      <c r="E15" s="127"/>
      <c r="F15" s="66"/>
      <c r="G15" s="127"/>
      <c r="H15" s="66"/>
      <c r="I15" s="127"/>
      <c r="J15" s="69"/>
      <c r="K15" s="41"/>
    </row>
    <row r="16" spans="1:12" ht="15.75" x14ac:dyDescent="0.25">
      <c r="A16" s="130" t="s">
        <v>153</v>
      </c>
      <c r="B16" s="132" t="s">
        <v>99</v>
      </c>
      <c r="C16" s="130" t="s">
        <v>104</v>
      </c>
      <c r="D16" s="41"/>
      <c r="E16" s="127">
        <f>E14</f>
        <v>0</v>
      </c>
      <c r="F16" s="66"/>
      <c r="G16" s="127">
        <f>G14</f>
        <v>0</v>
      </c>
      <c r="H16" s="66"/>
      <c r="I16" s="127">
        <f>I14</f>
        <v>2.3066856213730291E-3</v>
      </c>
      <c r="J16" s="66"/>
      <c r="K16" s="41"/>
    </row>
    <row r="17" spans="1:12" ht="15.75" x14ac:dyDescent="0.25">
      <c r="A17" s="130"/>
      <c r="B17" s="130"/>
      <c r="C17" s="130"/>
      <c r="D17" s="41"/>
      <c r="E17" s="127"/>
      <c r="F17" s="66"/>
      <c r="G17" s="127"/>
      <c r="H17" s="66"/>
      <c r="I17" s="127"/>
      <c r="J17" s="69"/>
      <c r="K17" s="41"/>
    </row>
    <row r="18" spans="1:12" ht="15.75" x14ac:dyDescent="0.25">
      <c r="A18" s="41"/>
      <c r="B18" s="41"/>
      <c r="C18" s="130" t="s">
        <v>105</v>
      </c>
      <c r="D18" s="41"/>
      <c r="E18" s="127">
        <v>0</v>
      </c>
      <c r="F18" s="66"/>
      <c r="G18" s="127">
        <f>CoveragebyFTQuantile!$C$59*Parameters!$B$21/100</f>
        <v>1.8616191213581715E-3</v>
      </c>
      <c r="H18" s="66"/>
      <c r="I18" s="127">
        <f>CoveragebyFTQuantile!$C$59*(1-Parameters!$B$21)/100</f>
        <v>3.0601958159312396E-4</v>
      </c>
      <c r="J18" s="66"/>
      <c r="K18" s="41"/>
    </row>
    <row r="19" spans="1:12" ht="15.75" x14ac:dyDescent="0.25">
      <c r="A19" s="41"/>
      <c r="B19" s="41"/>
      <c r="C19" s="130"/>
      <c r="D19" s="41"/>
      <c r="E19" s="127"/>
      <c r="F19" s="66"/>
      <c r="G19" s="127"/>
      <c r="H19" s="66"/>
      <c r="I19" s="127"/>
      <c r="J19" s="66"/>
      <c r="K19" s="41"/>
    </row>
    <row r="20" spans="1:12" ht="9.9499999999999993" customHeight="1" x14ac:dyDescent="0.25">
      <c r="A20" s="41"/>
      <c r="B20" s="41"/>
      <c r="C20" s="79"/>
      <c r="D20" s="41"/>
      <c r="E20" s="80"/>
      <c r="F20" s="41"/>
      <c r="G20" s="41"/>
      <c r="H20" s="41"/>
      <c r="I20" s="41"/>
      <c r="J20" s="41"/>
      <c r="K20" s="41"/>
    </row>
    <row r="21" spans="1:12" ht="15.75" x14ac:dyDescent="0.25">
      <c r="A21" s="41"/>
      <c r="B21" s="41"/>
      <c r="C21" s="130" t="s">
        <v>103</v>
      </c>
      <c r="D21" s="41"/>
      <c r="E21" s="127">
        <v>0</v>
      </c>
      <c r="F21" s="41"/>
      <c r="G21" s="127">
        <v>0</v>
      </c>
      <c r="H21" s="41"/>
      <c r="I21" s="127">
        <f>(CoveragebyFTQuantile!B55+CoveragebyFTQuantile!D55)/100</f>
        <v>7.8435763653859208E-2</v>
      </c>
      <c r="J21" s="69"/>
      <c r="K21" s="41"/>
    </row>
    <row r="22" spans="1:12" ht="15.75" x14ac:dyDescent="0.25">
      <c r="A22" s="41"/>
      <c r="B22" s="41"/>
      <c r="C22" s="130"/>
      <c r="D22" s="41"/>
      <c r="E22" s="127"/>
      <c r="F22" s="41"/>
      <c r="G22" s="127"/>
      <c r="H22" s="41"/>
      <c r="I22" s="127"/>
      <c r="J22" s="69"/>
      <c r="K22" s="41"/>
    </row>
    <row r="23" spans="1:12" ht="15.75" x14ac:dyDescent="0.25">
      <c r="A23" s="130" t="s">
        <v>97</v>
      </c>
      <c r="B23" s="130" t="s">
        <v>100</v>
      </c>
      <c r="C23" s="130" t="s">
        <v>104</v>
      </c>
      <c r="D23" s="41"/>
      <c r="E23" s="127">
        <f>E21</f>
        <v>0</v>
      </c>
      <c r="F23" s="68"/>
      <c r="G23" s="127">
        <f>G21</f>
        <v>0</v>
      </c>
      <c r="H23" s="68"/>
      <c r="I23" s="127">
        <f>I21</f>
        <v>7.8435763653859208E-2</v>
      </c>
      <c r="J23" s="68"/>
      <c r="K23" s="41"/>
    </row>
    <row r="24" spans="1:12" ht="15.75" x14ac:dyDescent="0.25">
      <c r="A24" s="130"/>
      <c r="B24" s="130"/>
      <c r="C24" s="130"/>
      <c r="D24" s="41"/>
      <c r="E24" s="127"/>
      <c r="F24" s="68"/>
      <c r="G24" s="127"/>
      <c r="H24" s="68"/>
      <c r="I24" s="127"/>
      <c r="J24" s="69"/>
      <c r="K24" s="41"/>
    </row>
    <row r="25" spans="1:12" ht="15.75" x14ac:dyDescent="0.25">
      <c r="A25" s="41"/>
      <c r="B25" s="41"/>
      <c r="C25" s="130" t="s">
        <v>105</v>
      </c>
      <c r="D25" s="41"/>
      <c r="E25" s="127">
        <f>(CoveragebyFTQuantile!C55+CoveragebyFTQuantile!E55)/100-G25-I25</f>
        <v>0</v>
      </c>
      <c r="F25" s="68"/>
      <c r="G25" s="127">
        <f>(CoveragebyFTQuantile!$C$55+CoveragebyFTQuantile!$E$55)*Parameters!$B$21/100</f>
        <v>1.237928533256798E-2</v>
      </c>
      <c r="H25" s="68"/>
      <c r="I25" s="127">
        <f>(CoveragebyFTQuantile!$C$55+CoveragebyFTQuantile!$E$55)*(1-Parameters!$B$21)/100</f>
        <v>2.0349510135728179E-3</v>
      </c>
      <c r="J25" s="68"/>
      <c r="K25" s="41"/>
    </row>
    <row r="26" spans="1:12" ht="15.75" x14ac:dyDescent="0.25">
      <c r="A26" s="41"/>
      <c r="B26" s="41"/>
      <c r="C26" s="130"/>
      <c r="D26" s="41"/>
      <c r="E26" s="127"/>
      <c r="F26" s="68"/>
      <c r="G26" s="127"/>
      <c r="H26" s="68"/>
      <c r="I26" s="127"/>
      <c r="J26" s="68"/>
      <c r="K26" s="41"/>
    </row>
    <row r="27" spans="1:12" ht="9.9499999999999993" customHeight="1" x14ac:dyDescent="0.25">
      <c r="A27" s="41"/>
      <c r="B27" s="41"/>
      <c r="C27" s="79"/>
      <c r="D27" s="41"/>
      <c r="E27" s="80"/>
      <c r="F27" s="41"/>
      <c r="G27" s="41"/>
      <c r="H27" s="41"/>
      <c r="I27" s="41"/>
      <c r="J27" s="41"/>
      <c r="K27" s="41"/>
    </row>
    <row r="28" spans="1:12" ht="15.75" x14ac:dyDescent="0.25">
      <c r="A28" s="41"/>
      <c r="B28" s="41"/>
      <c r="C28" s="130" t="s">
        <v>103</v>
      </c>
      <c r="D28" s="41"/>
      <c r="E28" s="127">
        <f>((CoveragebyFTQuantile!$B$62+CoveragebyFTQuantile!$D$62+CoveragebyFTQuantile!$F$62)/100-E7-G7-I7-E14-G14-I14-E21-G21-I21-I28)*Parameters!$B$22</f>
        <v>8.8961988246469476E-2</v>
      </c>
      <c r="F28" s="41"/>
      <c r="G28" s="127">
        <f>E28*(1-Parameters!$B$22)/Parameters!$B$22</f>
        <v>0.41515594515019083</v>
      </c>
      <c r="H28" s="41"/>
      <c r="I28" s="127">
        <f>AVERAGE(Parameters!$B$19*(CoveragebyFTQuantile!$B$13+CoveragebyFTQuantile!$D$13+CoveragebyFTQuantile!$F$13)/SUM(CoveragebyFTQuantile!$B$13:$G$13),Parameters!$B$20*(CoveragebyFTQuantile!$B$48+CoveragebyFTQuantile!$D$48+CoveragebyFTQuantile!$F$48)/CoveragebyFTQuantile!$H$48)-WgtDetail!I7-WgtDetail!I14-WgtDetail!I21</f>
        <v>9.4849427386783203E-2</v>
      </c>
      <c r="J28" s="69"/>
      <c r="K28" s="41"/>
      <c r="L28" s="2" t="s">
        <v>182</v>
      </c>
    </row>
    <row r="29" spans="1:12" ht="15.75" x14ac:dyDescent="0.25">
      <c r="A29" s="41"/>
      <c r="B29" s="41"/>
      <c r="C29" s="130"/>
      <c r="D29" s="41"/>
      <c r="E29" s="127"/>
      <c r="F29" s="41"/>
      <c r="G29" s="127"/>
      <c r="H29" s="41"/>
      <c r="I29" s="127"/>
      <c r="J29" s="69"/>
      <c r="K29" s="41"/>
      <c r="L29" t="s">
        <v>183</v>
      </c>
    </row>
    <row r="30" spans="1:12" ht="15.75" x14ac:dyDescent="0.25">
      <c r="A30" s="131" t="s">
        <v>101</v>
      </c>
      <c r="B30" s="131"/>
      <c r="C30" s="130" t="s">
        <v>104</v>
      </c>
      <c r="D30" s="41"/>
      <c r="E30" s="127">
        <f>E28</f>
        <v>8.8961988246469476E-2</v>
      </c>
      <c r="F30" s="41"/>
      <c r="G30" s="127">
        <f>G28</f>
        <v>0.41515594515019083</v>
      </c>
      <c r="H30" s="41"/>
      <c r="I30" s="127">
        <f>I28</f>
        <v>9.4849427386783203E-2</v>
      </c>
      <c r="J30" s="69"/>
      <c r="K30" s="41"/>
    </row>
    <row r="31" spans="1:12" ht="15.75" x14ac:dyDescent="0.25">
      <c r="A31" s="131"/>
      <c r="B31" s="131"/>
      <c r="C31" s="130"/>
      <c r="D31" s="41"/>
      <c r="E31" s="127"/>
      <c r="F31" s="41"/>
      <c r="G31" s="127"/>
      <c r="H31" s="41"/>
      <c r="I31" s="127"/>
      <c r="J31" s="69"/>
      <c r="K31" s="41"/>
    </row>
    <row r="32" spans="1:12" ht="15.75" x14ac:dyDescent="0.25">
      <c r="A32" s="64"/>
      <c r="B32" s="64"/>
      <c r="C32" s="128" t="s">
        <v>105</v>
      </c>
      <c r="D32" s="64"/>
      <c r="E32" s="123">
        <f>((CoveragebyFTQuantile!$C$62+CoveragebyFTQuantile!$E$62+CoveragebyFTQuantile!$G$62)/100-E11-G11-I11-E18-G18-I18-E25-G25-I25-I32)*Parameters!$B$22</f>
        <v>8.4006054647763305E-3</v>
      </c>
      <c r="F32" s="64"/>
      <c r="G32" s="123">
        <f>E32*(1-Parameters!$B$22)/Parameters!$B$22</f>
        <v>3.920282550228954E-2</v>
      </c>
      <c r="H32" s="64"/>
      <c r="I32" s="123">
        <f>AVERAGE(Parameters!$B$19,Parameters!$B$20)-I30-I25-I23-I18-I16-I11-I9</f>
        <v>2.3478000141382495E-2</v>
      </c>
      <c r="J32" s="64"/>
      <c r="K32" s="41"/>
    </row>
    <row r="33" spans="1:14" ht="15.75" x14ac:dyDescent="0.25">
      <c r="A33" s="65"/>
      <c r="B33" s="65"/>
      <c r="C33" s="129"/>
      <c r="D33" s="65"/>
      <c r="E33" s="124"/>
      <c r="F33" s="65"/>
      <c r="G33" s="124"/>
      <c r="H33" s="65"/>
      <c r="I33" s="124"/>
      <c r="J33" s="65"/>
      <c r="K33" s="41"/>
      <c r="L33" s="74">
        <f>1-SUM(E32:I33)-E30-G30+Table1!$B$27/2</f>
        <v>0.45987788539497904</v>
      </c>
      <c r="M33" s="74">
        <f>E9+G9+I9+E11+G11+I11+E16+G16+I16+E18+G18+I18+E23+G23+I23+E25+G25+I25+I30+Table1!$B$27/2</f>
        <v>0.45997788539497908</v>
      </c>
      <c r="N33" t="s">
        <v>349</v>
      </c>
    </row>
    <row r="34" spans="1:14" ht="15.75" x14ac:dyDescent="0.25">
      <c r="A34" s="125" t="s">
        <v>110</v>
      </c>
      <c r="B34" s="125"/>
      <c r="C34" s="41" t="s">
        <v>118</v>
      </c>
      <c r="D34" s="41"/>
      <c r="E34" s="71">
        <f>E7+E14+E21+E28</f>
        <v>0.11713474118764595</v>
      </c>
      <c r="F34" s="41"/>
      <c r="G34" s="71">
        <f>G7+G14+G21+G28</f>
        <v>0.54662879220901439</v>
      </c>
      <c r="H34" s="41"/>
      <c r="I34" s="71">
        <f>I7+I14+I21+I28</f>
        <v>0.23138396660333965</v>
      </c>
      <c r="J34" s="41"/>
      <c r="K34" s="41"/>
    </row>
    <row r="35" spans="1:14" ht="15.75" x14ac:dyDescent="0.25">
      <c r="A35" s="126"/>
      <c r="B35" s="126"/>
      <c r="C35" s="41" t="s">
        <v>117</v>
      </c>
      <c r="D35" s="41"/>
      <c r="E35" s="71">
        <f>SUM(E7:E33)-E34</f>
        <v>0.13009534665242228</v>
      </c>
      <c r="F35" s="41"/>
      <c r="G35" s="71">
        <f>SUM(G7:G33)-G34</f>
        <v>0.61100465334757781</v>
      </c>
      <c r="H35" s="41"/>
      <c r="I35" s="71">
        <f>SUM(I7:I33)-I34</f>
        <v>0.25900000000000001</v>
      </c>
      <c r="J35" s="41"/>
      <c r="K35" s="41"/>
    </row>
    <row r="36" spans="1:14" ht="15.75" x14ac:dyDescent="0.25">
      <c r="A36" s="41"/>
      <c r="B36" s="41"/>
      <c r="D36" s="41"/>
      <c r="E36" s="41"/>
      <c r="F36" s="41"/>
      <c r="G36" s="41"/>
      <c r="H36" s="41"/>
      <c r="I36" s="41"/>
      <c r="J36" s="41"/>
      <c r="K36" s="41"/>
    </row>
    <row r="37" spans="1:14" ht="15.75" x14ac:dyDescent="0.25">
      <c r="A37" s="110" t="s">
        <v>315</v>
      </c>
      <c r="B37" s="41"/>
      <c r="D37" s="41"/>
      <c r="E37" s="71">
        <f>Table1!$B$25*Parameters!$B$31*(1-Parameters!$B$32/52)</f>
        <v>1.2311772196551716E-2</v>
      </c>
      <c r="F37" s="41"/>
      <c r="G37" s="41"/>
      <c r="H37" s="41"/>
      <c r="I37" s="41"/>
      <c r="J37" s="41"/>
      <c r="K37" s="41"/>
    </row>
    <row r="38" spans="1:14" ht="15.75" x14ac:dyDescent="0.25">
      <c r="A38" s="110"/>
      <c r="B38" s="41"/>
      <c r="D38" s="41"/>
      <c r="E38" s="41"/>
      <c r="F38" s="41"/>
      <c r="G38" s="41"/>
      <c r="H38" s="41"/>
      <c r="I38" s="41"/>
      <c r="J38" s="41"/>
      <c r="K38" s="41"/>
    </row>
    <row r="39" spans="1:14" ht="15.75" x14ac:dyDescent="0.25">
      <c r="A39" s="43" t="s">
        <v>115</v>
      </c>
      <c r="B39" s="41"/>
      <c r="C39" s="41"/>
      <c r="D39" s="41"/>
      <c r="E39" s="41"/>
      <c r="F39" s="41"/>
      <c r="G39" s="41"/>
      <c r="H39" s="41"/>
      <c r="I39" s="41"/>
      <c r="J39" s="41"/>
      <c r="K39" s="41"/>
    </row>
    <row r="40" spans="1:14" ht="15.75" x14ac:dyDescent="0.25">
      <c r="A40" s="66"/>
      <c r="B40" s="41" t="s">
        <v>111</v>
      </c>
      <c r="C40" s="41"/>
      <c r="D40" s="41"/>
      <c r="E40" s="41"/>
      <c r="F40" s="41"/>
      <c r="G40" s="41"/>
      <c r="H40" s="41"/>
      <c r="I40" s="41"/>
      <c r="J40" s="41"/>
      <c r="K40" s="41"/>
      <c r="L40" s="74"/>
      <c r="M40" s="74"/>
    </row>
    <row r="41" spans="1:14" ht="15.75" x14ac:dyDescent="0.25">
      <c r="A41" s="70"/>
      <c r="B41" s="41" t="s">
        <v>112</v>
      </c>
      <c r="C41" s="41"/>
      <c r="D41" s="41"/>
      <c r="E41" s="41"/>
      <c r="F41" s="41"/>
      <c r="G41" s="41"/>
      <c r="H41" s="41"/>
      <c r="I41" s="41"/>
      <c r="J41" s="41"/>
      <c r="K41" s="41"/>
      <c r="L41" s="74"/>
      <c r="M41" s="74"/>
    </row>
    <row r="42" spans="1:14" ht="15.75" x14ac:dyDescent="0.25">
      <c r="A42" s="68"/>
      <c r="B42" s="41" t="s">
        <v>113</v>
      </c>
      <c r="C42" s="41"/>
      <c r="D42" s="41"/>
      <c r="E42" s="41"/>
      <c r="F42" s="41"/>
      <c r="G42" s="41"/>
      <c r="H42" s="41"/>
      <c r="I42" s="41"/>
      <c r="J42" s="41"/>
      <c r="K42" s="41"/>
      <c r="L42" s="74"/>
    </row>
    <row r="43" spans="1:14" ht="15.75" x14ac:dyDescent="0.25">
      <c r="A43" s="69"/>
      <c r="B43" s="41" t="s">
        <v>114</v>
      </c>
      <c r="C43" s="41"/>
      <c r="D43" s="41"/>
      <c r="E43" s="41"/>
      <c r="F43" s="41"/>
      <c r="G43" s="41"/>
      <c r="H43" s="41"/>
      <c r="I43" s="41"/>
      <c r="J43" s="41"/>
      <c r="K43" s="41"/>
      <c r="L43" s="74"/>
      <c r="M43" s="74"/>
    </row>
    <row r="44" spans="1:14" ht="15.75" x14ac:dyDescent="0.25">
      <c r="B44" s="41" t="s">
        <v>97</v>
      </c>
    </row>
    <row r="46" spans="1:14" x14ac:dyDescent="0.25">
      <c r="A46" s="13" t="s">
        <v>160</v>
      </c>
    </row>
    <row r="47" spans="1:14" x14ac:dyDescent="0.25">
      <c r="A47" t="s">
        <v>161</v>
      </c>
    </row>
  </sheetData>
  <mergeCells count="63">
    <mergeCell ref="G4:H4"/>
    <mergeCell ref="G5:H5"/>
    <mergeCell ref="I5:J5"/>
    <mergeCell ref="I4:J4"/>
    <mergeCell ref="A30:B31"/>
    <mergeCell ref="A23:A24"/>
    <mergeCell ref="B23:B24"/>
    <mergeCell ref="G9:G10"/>
    <mergeCell ref="E9:E10"/>
    <mergeCell ref="G16:G17"/>
    <mergeCell ref="E16:E17"/>
    <mergeCell ref="A16:A17"/>
    <mergeCell ref="B16:B17"/>
    <mergeCell ref="A9:A10"/>
    <mergeCell ref="B9:B10"/>
    <mergeCell ref="C9:C10"/>
    <mergeCell ref="C11:C12"/>
    <mergeCell ref="C14:C15"/>
    <mergeCell ref="C16:C17"/>
    <mergeCell ref="E4:F4"/>
    <mergeCell ref="E5:F5"/>
    <mergeCell ref="C32:C33"/>
    <mergeCell ref="E7:E8"/>
    <mergeCell ref="E11:E12"/>
    <mergeCell ref="E14:E15"/>
    <mergeCell ref="E18:E19"/>
    <mergeCell ref="E21:E22"/>
    <mergeCell ref="E23:E24"/>
    <mergeCell ref="E25:E26"/>
    <mergeCell ref="C18:C19"/>
    <mergeCell ref="C21:C22"/>
    <mergeCell ref="C23:C24"/>
    <mergeCell ref="C25:C26"/>
    <mergeCell ref="C28:C29"/>
    <mergeCell ref="C30:C31"/>
    <mergeCell ref="E32:E33"/>
    <mergeCell ref="C7:C8"/>
    <mergeCell ref="G7:G8"/>
    <mergeCell ref="G11:G12"/>
    <mergeCell ref="G14:G15"/>
    <mergeCell ref="G18:G19"/>
    <mergeCell ref="G21:G22"/>
    <mergeCell ref="I11:I12"/>
    <mergeCell ref="I14:I15"/>
    <mergeCell ref="I16:I17"/>
    <mergeCell ref="E28:E29"/>
    <mergeCell ref="E30:E31"/>
    <mergeCell ref="D3:J3"/>
    <mergeCell ref="I32:I33"/>
    <mergeCell ref="A34:B35"/>
    <mergeCell ref="I18:I19"/>
    <mergeCell ref="I21:I22"/>
    <mergeCell ref="I23:I24"/>
    <mergeCell ref="I25:I26"/>
    <mergeCell ref="I28:I29"/>
    <mergeCell ref="I30:I31"/>
    <mergeCell ref="G23:G24"/>
    <mergeCell ref="G25:G26"/>
    <mergeCell ref="G28:G29"/>
    <mergeCell ref="G30:G31"/>
    <mergeCell ref="G32:G33"/>
    <mergeCell ref="I7:I8"/>
    <mergeCell ref="I9:I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ColWidth="11.42578125" defaultRowHeight="15" x14ac:dyDescent="0.25"/>
  <cols>
    <col min="1" max="1" width="7.140625" customWidth="1"/>
    <col min="2" max="2" width="33.7109375" customWidth="1"/>
    <col min="7" max="7" width="0" hidden="1" customWidth="1"/>
    <col min="8" max="13" width="11.42578125" hidden="1" customWidth="1"/>
  </cols>
  <sheetData>
    <row r="1" spans="1:13" ht="15.75" x14ac:dyDescent="0.25">
      <c r="A1" s="42" t="s">
        <v>344</v>
      </c>
      <c r="B1" s="42"/>
      <c r="C1" s="94"/>
      <c r="D1" s="94"/>
      <c r="E1" s="94"/>
      <c r="F1" s="94"/>
      <c r="G1" s="94"/>
      <c r="H1" s="94"/>
      <c r="I1" s="94"/>
    </row>
    <row r="2" spans="1:13" ht="15.75" x14ac:dyDescent="0.25">
      <c r="A2" s="94"/>
      <c r="B2" s="94"/>
      <c r="C2" s="94"/>
      <c r="D2" s="94"/>
      <c r="E2" s="94"/>
      <c r="F2" s="94"/>
      <c r="G2" s="94"/>
      <c r="H2" s="94"/>
      <c r="I2" s="94"/>
    </row>
    <row r="3" spans="1:13" ht="15.75" x14ac:dyDescent="0.25">
      <c r="A3" s="94"/>
      <c r="B3" s="94"/>
      <c r="C3" s="94" t="s">
        <v>274</v>
      </c>
      <c r="D3" s="94"/>
      <c r="E3" s="94"/>
      <c r="F3" s="94"/>
      <c r="G3" s="94"/>
      <c r="H3" s="94"/>
      <c r="I3" s="94"/>
    </row>
    <row r="4" spans="1:13" ht="15.75" x14ac:dyDescent="0.25">
      <c r="A4" s="94"/>
      <c r="B4" s="94"/>
      <c r="C4" s="43">
        <v>2014</v>
      </c>
      <c r="D4" s="43">
        <v>2015</v>
      </c>
      <c r="E4" s="43">
        <v>2016</v>
      </c>
      <c r="F4" s="94"/>
      <c r="G4" s="94"/>
      <c r="H4" s="44" t="s">
        <v>306</v>
      </c>
      <c r="I4" s="94"/>
    </row>
    <row r="5" spans="1:13" ht="15.75" x14ac:dyDescent="0.25">
      <c r="A5" s="94"/>
      <c r="B5" s="94"/>
      <c r="C5" s="43"/>
      <c r="D5" s="43"/>
      <c r="E5" s="43"/>
      <c r="F5" s="94"/>
      <c r="G5" s="94">
        <f>100*Table1!C33*Parameters!$B$9/(Parameters!B26*Parameters!$B$10)</f>
        <v>4.8367084219306538</v>
      </c>
      <c r="H5" s="44"/>
      <c r="I5" s="94"/>
    </row>
    <row r="6" spans="1:13" ht="15.75" x14ac:dyDescent="0.25">
      <c r="A6" s="94" t="s">
        <v>271</v>
      </c>
      <c r="B6" s="94"/>
      <c r="C6" s="98">
        <v>3.6350792862138026</v>
      </c>
      <c r="D6" s="98">
        <v>4.8367084219306538</v>
      </c>
      <c r="E6" s="98">
        <v>4.9230978212146734</v>
      </c>
      <c r="F6" s="94"/>
      <c r="G6" s="94"/>
      <c r="H6" s="94"/>
      <c r="I6" s="94"/>
    </row>
    <row r="7" spans="1:13" ht="15.75" x14ac:dyDescent="0.25">
      <c r="A7" s="94" t="s">
        <v>275</v>
      </c>
      <c r="B7" s="94"/>
      <c r="C7" s="98"/>
      <c r="D7" s="98"/>
      <c r="E7" s="98"/>
      <c r="F7" s="94"/>
      <c r="G7" s="94"/>
      <c r="H7" s="94">
        <f>Parameters!$B$12</f>
        <v>1.6E-2</v>
      </c>
      <c r="I7" s="94"/>
    </row>
    <row r="8" spans="1:13" ht="15.75" x14ac:dyDescent="0.25">
      <c r="A8" s="94"/>
      <c r="B8" s="97" t="s">
        <v>280</v>
      </c>
      <c r="C8" s="98">
        <v>3.6350792862138026</v>
      </c>
      <c r="D8" s="98">
        <v>4.803747413404853</v>
      </c>
      <c r="E8" s="98">
        <v>4.8564506619755043</v>
      </c>
      <c r="F8" s="94"/>
      <c r="G8" s="94"/>
      <c r="H8" s="94"/>
      <c r="I8" s="94"/>
    </row>
    <row r="9" spans="1:13" ht="15.75" x14ac:dyDescent="0.25">
      <c r="A9" s="94"/>
      <c r="B9" s="97" t="s">
        <v>281</v>
      </c>
      <c r="C9" s="98">
        <v>3.6350792862138026</v>
      </c>
      <c r="D9" s="98">
        <v>4.8696694304564554</v>
      </c>
      <c r="E9" s="98">
        <v>4.9904042006243561</v>
      </c>
      <c r="F9" s="94"/>
      <c r="G9" s="94"/>
      <c r="H9" s="94"/>
      <c r="I9" s="94"/>
    </row>
    <row r="10" spans="1:13" ht="15.75" x14ac:dyDescent="0.25">
      <c r="A10" s="94" t="s">
        <v>277</v>
      </c>
      <c r="B10" s="94"/>
      <c r="C10" s="98"/>
      <c r="D10" s="98"/>
      <c r="E10" s="98"/>
      <c r="F10" s="94"/>
      <c r="G10" s="94"/>
      <c r="H10" s="94"/>
      <c r="I10" s="94"/>
      <c r="J10" t="s">
        <v>342</v>
      </c>
      <c r="K10" t="s">
        <v>282</v>
      </c>
      <c r="L10" t="s">
        <v>343</v>
      </c>
      <c r="M10" t="s">
        <v>283</v>
      </c>
    </row>
    <row r="11" spans="1:13" ht="15.75" x14ac:dyDescent="0.25">
      <c r="B11" s="97" t="s">
        <v>282</v>
      </c>
      <c r="C11" s="98">
        <v>3.1465087427729563</v>
      </c>
      <c r="D11" s="98">
        <v>4.3428097862110242</v>
      </c>
      <c r="E11" s="98">
        <v>4.4237858437398003</v>
      </c>
      <c r="F11" s="94"/>
      <c r="G11" s="94"/>
      <c r="H11" s="106">
        <f>Parameters!C27</f>
        <v>0.24290790000000001</v>
      </c>
      <c r="I11" s="94" t="s">
        <v>42</v>
      </c>
      <c r="J11">
        <v>0.24290790000000001</v>
      </c>
      <c r="K11">
        <v>0.21795039999999999</v>
      </c>
      <c r="L11">
        <v>0.2396065</v>
      </c>
      <c r="M11">
        <v>0.26786529999999997</v>
      </c>
    </row>
    <row r="12" spans="1:13" ht="15.75" x14ac:dyDescent="0.25">
      <c r="A12" s="94"/>
      <c r="B12" s="94" t="s">
        <v>276</v>
      </c>
      <c r="C12" s="98">
        <v>3.6755751208409877</v>
      </c>
      <c r="D12" s="98">
        <v>4.8782484659985208</v>
      </c>
      <c r="E12" s="98">
        <v>4.9656987820742744</v>
      </c>
      <c r="F12" s="94"/>
      <c r="G12" s="94"/>
      <c r="H12" s="106">
        <f>Parameters!C28</f>
        <v>0.23778089999999999</v>
      </c>
      <c r="I12" s="94" t="s">
        <v>46</v>
      </c>
      <c r="J12">
        <v>0.23778089999999999</v>
      </c>
      <c r="K12">
        <v>0.2133362</v>
      </c>
      <c r="L12">
        <v>0.23890929999999999</v>
      </c>
      <c r="M12">
        <v>0.26222570000000001</v>
      </c>
    </row>
    <row r="13" spans="1:13" ht="15.75" x14ac:dyDescent="0.25">
      <c r="A13" s="94"/>
      <c r="B13" s="97" t="s">
        <v>283</v>
      </c>
      <c r="C13" s="98">
        <v>4.1245568820831613</v>
      </c>
      <c r="D13" s="98">
        <v>5.3315286359322958</v>
      </c>
      <c r="E13" s="98">
        <v>5.4233461352387176</v>
      </c>
      <c r="F13" s="94"/>
      <c r="G13" s="94"/>
      <c r="H13" s="107">
        <f>Parameters!C34</f>
        <v>459.35390000000001</v>
      </c>
      <c r="I13" s="94" t="s">
        <v>51</v>
      </c>
      <c r="J13">
        <v>459.35390000000001</v>
      </c>
      <c r="K13">
        <v>378.40100000000001</v>
      </c>
      <c r="L13">
        <v>475.2192</v>
      </c>
      <c r="M13">
        <v>540.52750000000003</v>
      </c>
    </row>
    <row r="14" spans="1:13" ht="15.75" x14ac:dyDescent="0.25">
      <c r="A14" s="113" t="s">
        <v>348</v>
      </c>
      <c r="B14" s="97"/>
      <c r="C14" s="98"/>
      <c r="D14" s="98"/>
      <c r="E14" s="98"/>
      <c r="F14" s="94"/>
      <c r="G14" s="94"/>
      <c r="H14" s="94">
        <f>Parameters!$B$36</f>
        <v>0.48</v>
      </c>
      <c r="I14" s="94"/>
    </row>
    <row r="15" spans="1:13" ht="15.75" x14ac:dyDescent="0.25">
      <c r="A15" s="94"/>
      <c r="B15" s="113" t="s">
        <v>346</v>
      </c>
      <c r="C15" s="98">
        <v>2.816342232820547</v>
      </c>
      <c r="D15" s="98">
        <v>4.0066338502035013</v>
      </c>
      <c r="E15" s="98">
        <v>4.0815043308602803</v>
      </c>
      <c r="F15" s="94"/>
      <c r="G15" s="94"/>
      <c r="H15" s="94"/>
      <c r="I15" s="94"/>
    </row>
    <row r="16" spans="1:13" ht="15.75" x14ac:dyDescent="0.25">
      <c r="A16" s="94"/>
      <c r="B16" s="116" t="s">
        <v>347</v>
      </c>
      <c r="C16" s="98">
        <v>4.6357579070277826</v>
      </c>
      <c r="D16" s="98">
        <v>5.8512440095971749</v>
      </c>
      <c r="E16" s="98">
        <v>5.9517120872033749</v>
      </c>
      <c r="F16" s="94"/>
      <c r="G16" s="94"/>
      <c r="H16" s="94"/>
      <c r="I16" s="94"/>
    </row>
    <row r="17" spans="1:9" ht="15.75" x14ac:dyDescent="0.25">
      <c r="A17" s="94" t="s">
        <v>278</v>
      </c>
      <c r="B17" s="94"/>
      <c r="C17" s="98"/>
      <c r="D17" s="98"/>
      <c r="E17" s="98"/>
      <c r="F17" s="94"/>
      <c r="G17" s="94"/>
      <c r="H17" s="94">
        <f>Parameters!$B$35</f>
        <v>0.5</v>
      </c>
      <c r="I17" s="94"/>
    </row>
    <row r="18" spans="1:9" ht="15.75" x14ac:dyDescent="0.25">
      <c r="A18" s="94"/>
      <c r="B18" s="97" t="s">
        <v>284</v>
      </c>
      <c r="C18" s="98">
        <v>3.5487146250894379</v>
      </c>
      <c r="D18" s="98">
        <v>4.7569053575711848</v>
      </c>
      <c r="E18" s="98">
        <v>4.8465755552376528</v>
      </c>
      <c r="F18" s="94"/>
      <c r="G18" s="94"/>
      <c r="H18" s="94"/>
      <c r="I18" s="94"/>
    </row>
    <row r="19" spans="1:9" ht="15.75" x14ac:dyDescent="0.25">
      <c r="A19" s="94"/>
      <c r="B19" s="97" t="s">
        <v>285</v>
      </c>
      <c r="C19" s="98">
        <v>3.7214439473381682</v>
      </c>
      <c r="D19" s="98">
        <v>4.9165114862901227</v>
      </c>
      <c r="E19" s="98">
        <v>4.9996200871916949</v>
      </c>
      <c r="F19" s="94"/>
      <c r="G19" s="94"/>
      <c r="H19" s="94"/>
      <c r="I19" s="94"/>
    </row>
    <row r="20" spans="1:9" ht="15.75" x14ac:dyDescent="0.25">
      <c r="A20" s="94" t="s">
        <v>286</v>
      </c>
      <c r="B20" s="97"/>
      <c r="C20" s="98"/>
      <c r="D20" s="98"/>
      <c r="E20" s="98"/>
      <c r="F20" s="94"/>
      <c r="G20" s="94"/>
      <c r="H20" s="94">
        <f>Parameters!$C$18</f>
        <v>-0.1</v>
      </c>
      <c r="I20" s="94"/>
    </row>
    <row r="21" spans="1:9" ht="15.75" x14ac:dyDescent="0.25">
      <c r="A21" s="94"/>
      <c r="B21" s="97" t="s">
        <v>97</v>
      </c>
      <c r="C21" s="98">
        <v>3.3658150751496447</v>
      </c>
      <c r="D21" s="98">
        <v>4.5690354415098495</v>
      </c>
      <c r="E21" s="98">
        <v>4.6570415311275175</v>
      </c>
      <c r="F21" s="94"/>
      <c r="G21" s="94"/>
      <c r="H21" s="94"/>
      <c r="I21" s="94"/>
    </row>
    <row r="22" spans="1:9" ht="15.75" x14ac:dyDescent="0.25">
      <c r="A22" s="94"/>
      <c r="B22" s="97" t="s">
        <v>287</v>
      </c>
      <c r="C22" s="98">
        <v>3.9043434972779618</v>
      </c>
      <c r="D22" s="98">
        <v>5.1043814023514598</v>
      </c>
      <c r="E22" s="98">
        <v>5.1891541113018302</v>
      </c>
      <c r="F22" s="94"/>
      <c r="G22" s="94"/>
      <c r="H22" s="94"/>
      <c r="I22" s="94"/>
    </row>
    <row r="23" spans="1:9" ht="15.75" x14ac:dyDescent="0.25">
      <c r="A23" s="100" t="s">
        <v>302</v>
      </c>
      <c r="C23" s="98">
        <v>3.6022713023893251</v>
      </c>
      <c r="D23" s="98">
        <v>4.771092454281697</v>
      </c>
      <c r="E23" s="98">
        <v>4.8410778616534786</v>
      </c>
      <c r="F23" s="94"/>
      <c r="G23" s="94"/>
      <c r="H23" s="108">
        <f>Table1!$B$22</f>
        <v>9.2850000000000002E-2</v>
      </c>
      <c r="I23" s="94"/>
    </row>
    <row r="24" spans="1:9" ht="15.75" x14ac:dyDescent="0.25">
      <c r="A24" s="94" t="s">
        <v>279</v>
      </c>
      <c r="C24" s="98"/>
      <c r="D24" s="98"/>
      <c r="E24" s="98"/>
      <c r="F24" s="94"/>
      <c r="G24" s="94"/>
      <c r="H24" s="94">
        <f>Table1!B32</f>
        <v>0.58255528942526302</v>
      </c>
    </row>
    <row r="25" spans="1:9" ht="15.75" x14ac:dyDescent="0.25">
      <c r="A25" s="94"/>
      <c r="B25" s="94" t="s">
        <v>303</v>
      </c>
      <c r="C25" s="98">
        <v>3.6630142652903248</v>
      </c>
      <c r="D25" s="98">
        <v>4.8533799263052826</v>
      </c>
      <c r="E25" s="98">
        <v>4.9341375882383547</v>
      </c>
      <c r="F25" s="94"/>
      <c r="G25" s="94"/>
      <c r="H25" s="94">
        <f>Table1!C32</f>
        <v>8.9078002007197496E-2</v>
      </c>
      <c r="I25" s="94"/>
    </row>
    <row r="26" spans="1:9" ht="31.5" x14ac:dyDescent="0.25">
      <c r="A26" s="94"/>
      <c r="B26" s="99" t="s">
        <v>304</v>
      </c>
      <c r="C26" s="98">
        <v>3.6423475337068747</v>
      </c>
      <c r="D26" s="98">
        <v>4.8479040830659068</v>
      </c>
      <c r="E26" s="98">
        <v>4.9286514283226541</v>
      </c>
      <c r="F26" s="94"/>
      <c r="G26" s="94"/>
      <c r="H26" s="94">
        <f>Table1!D32</f>
        <v>0.32836670856754002</v>
      </c>
      <c r="I26" s="94"/>
    </row>
    <row r="27" spans="1:9" ht="15.75" x14ac:dyDescent="0.25">
      <c r="A27" s="94"/>
      <c r="B27" s="94"/>
      <c r="C27" s="94"/>
      <c r="D27" s="94"/>
      <c r="E27" s="94"/>
      <c r="F27" s="94"/>
      <c r="G27" s="94"/>
      <c r="H27" s="94"/>
      <c r="I27" s="94"/>
    </row>
    <row r="28" spans="1:9" ht="15.75" x14ac:dyDescent="0.25">
      <c r="A28" s="94"/>
      <c r="B28" s="94"/>
      <c r="C28" s="94"/>
      <c r="D28" s="94"/>
      <c r="E28" s="94"/>
      <c r="F28" s="94"/>
      <c r="G28" s="94"/>
      <c r="H28" s="94"/>
      <c r="I28" s="94"/>
    </row>
    <row r="29" spans="1:9" ht="15.75" x14ac:dyDescent="0.25">
      <c r="A29" s="94"/>
      <c r="B29" s="94"/>
      <c r="C29" s="94"/>
      <c r="D29" s="94"/>
      <c r="E29" s="94"/>
      <c r="F29" s="94"/>
      <c r="G29" s="94"/>
      <c r="H29" s="94"/>
      <c r="I29" s="94"/>
    </row>
    <row r="30" spans="1:9" ht="15.75" x14ac:dyDescent="0.25">
      <c r="A30" s="94"/>
      <c r="B30" s="94"/>
      <c r="C30" s="94"/>
      <c r="D30" s="94"/>
      <c r="E30" s="94"/>
      <c r="F30" s="94"/>
      <c r="G30" s="94"/>
      <c r="H30" s="94"/>
      <c r="I30" s="94"/>
    </row>
    <row r="31" spans="1:9" ht="15.75" x14ac:dyDescent="0.25">
      <c r="A31" s="94"/>
      <c r="B31" s="94"/>
      <c r="C31" s="94"/>
      <c r="D31" s="94"/>
      <c r="E31" s="94"/>
      <c r="F31" s="94"/>
      <c r="G31" s="94"/>
      <c r="H31" s="94"/>
      <c r="I31" s="94"/>
    </row>
    <row r="32" spans="1:9" ht="15.75" x14ac:dyDescent="0.25">
      <c r="A32" s="94"/>
      <c r="B32" s="94"/>
      <c r="C32" s="94"/>
      <c r="D32" s="94"/>
      <c r="E32" s="94"/>
      <c r="F32" s="94"/>
      <c r="G32" s="94"/>
      <c r="H32" s="94"/>
      <c r="I32" s="94"/>
    </row>
    <row r="33" spans="1:9" ht="15.75" x14ac:dyDescent="0.25">
      <c r="A33" s="94"/>
      <c r="B33" s="94"/>
      <c r="C33" s="94"/>
      <c r="D33" s="94"/>
      <c r="E33" s="94"/>
      <c r="F33" s="94"/>
      <c r="G33" s="94"/>
      <c r="H33" s="94"/>
      <c r="I33" s="94"/>
    </row>
    <row r="34" spans="1:9" ht="15.75" x14ac:dyDescent="0.25">
      <c r="A34" s="94"/>
      <c r="B34" s="94"/>
      <c r="C34" s="94"/>
      <c r="D34" s="94"/>
      <c r="E34" s="94"/>
      <c r="F34" s="94"/>
      <c r="G34" s="94"/>
      <c r="H34" s="94"/>
      <c r="I34" s="94"/>
    </row>
    <row r="35" spans="1:9" ht="15.75" x14ac:dyDescent="0.25">
      <c r="A35" s="94"/>
      <c r="B35" s="94"/>
      <c r="C35" s="94"/>
      <c r="D35" s="94"/>
      <c r="E35" s="94"/>
      <c r="F35" s="94"/>
      <c r="G35" s="94"/>
      <c r="H35" s="94"/>
      <c r="I35" s="9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heetViews>
  <sheetFormatPr defaultColWidth="11.42578125" defaultRowHeight="15" x14ac:dyDescent="0.25"/>
  <cols>
    <col min="1" max="1" width="65.7109375" bestFit="1" customWidth="1"/>
    <col min="2" max="2" width="12.42578125" bestFit="1" customWidth="1"/>
    <col min="4" max="4" width="22.7109375" bestFit="1" customWidth="1"/>
    <col min="5" max="5" width="18.140625" bestFit="1" customWidth="1"/>
    <col min="6" max="6" width="18.28515625" bestFit="1" customWidth="1"/>
  </cols>
  <sheetData>
    <row r="1" spans="1:6" x14ac:dyDescent="0.25">
      <c r="A1" s="1" t="s">
        <v>184</v>
      </c>
    </row>
    <row r="2" spans="1:6" x14ac:dyDescent="0.25">
      <c r="A2" s="1"/>
    </row>
    <row r="3" spans="1:6" x14ac:dyDescent="0.25">
      <c r="A3" s="1"/>
      <c r="B3" s="117" t="s">
        <v>198</v>
      </c>
      <c r="C3" s="117"/>
    </row>
    <row r="4" spans="1:6" x14ac:dyDescent="0.25">
      <c r="A4" s="2" t="s">
        <v>30</v>
      </c>
      <c r="B4" s="15" t="s">
        <v>199</v>
      </c>
      <c r="C4" s="16" t="s">
        <v>200</v>
      </c>
      <c r="D4" s="2" t="s">
        <v>32</v>
      </c>
      <c r="E4" s="2" t="s">
        <v>63</v>
      </c>
      <c r="F4" s="2" t="s">
        <v>85</v>
      </c>
    </row>
    <row r="5" spans="1:6" x14ac:dyDescent="0.25">
      <c r="A5" s="88" t="s">
        <v>206</v>
      </c>
      <c r="B5" s="29">
        <f>VLOOKUP(DATE(2010,1,1),FREDconnect!$A$8:$B$21,2)</f>
        <v>111.087</v>
      </c>
      <c r="C5" s="16"/>
      <c r="D5" s="2"/>
      <c r="E5" s="2"/>
      <c r="F5" s="2"/>
    </row>
    <row r="6" spans="1:6" x14ac:dyDescent="0.25">
      <c r="A6" t="s">
        <v>185</v>
      </c>
      <c r="B6" s="85">
        <f>1-0.874</f>
        <v>0.126</v>
      </c>
      <c r="C6" s="86"/>
      <c r="D6" t="s">
        <v>1</v>
      </c>
      <c r="E6" t="s">
        <v>68</v>
      </c>
      <c r="F6" t="s">
        <v>192</v>
      </c>
    </row>
    <row r="7" spans="1:6" x14ac:dyDescent="0.25">
      <c r="A7" t="s">
        <v>186</v>
      </c>
      <c r="B7" s="85">
        <f>1-0.905</f>
        <v>9.4999999999999973E-2</v>
      </c>
      <c r="C7" s="86"/>
      <c r="D7" t="s">
        <v>1</v>
      </c>
      <c r="E7" t="s">
        <v>68</v>
      </c>
      <c r="F7" t="s">
        <v>192</v>
      </c>
    </row>
    <row r="8" spans="1:6" x14ac:dyDescent="0.25">
      <c r="A8" s="84" t="s">
        <v>266</v>
      </c>
      <c r="B8" s="85">
        <v>7.3700000000000002E-2</v>
      </c>
      <c r="C8" s="86"/>
      <c r="F8" t="s">
        <v>192</v>
      </c>
    </row>
    <row r="9" spans="1:6" x14ac:dyDescent="0.25">
      <c r="A9" s="84" t="s">
        <v>259</v>
      </c>
      <c r="B9" s="85">
        <v>3.9699999999999999E-2</v>
      </c>
      <c r="C9" s="86"/>
    </row>
    <row r="10" spans="1:6" x14ac:dyDescent="0.25">
      <c r="A10" s="84" t="s">
        <v>249</v>
      </c>
      <c r="B10" s="85">
        <v>0.1416</v>
      </c>
      <c r="C10" s="85">
        <v>0.12790000000000001</v>
      </c>
      <c r="D10" t="s">
        <v>67</v>
      </c>
      <c r="E10" t="s">
        <v>68</v>
      </c>
      <c r="F10" t="s">
        <v>192</v>
      </c>
    </row>
    <row r="11" spans="1:6" x14ac:dyDescent="0.25">
      <c r="A11" s="84" t="s">
        <v>267</v>
      </c>
      <c r="B11" s="85">
        <v>6.7599999999999993E-2</v>
      </c>
      <c r="C11" s="85">
        <v>5.1900000000000002E-2</v>
      </c>
      <c r="D11" t="s">
        <v>67</v>
      </c>
      <c r="E11" t="s">
        <v>68</v>
      </c>
      <c r="F11" t="s">
        <v>192</v>
      </c>
    </row>
    <row r="12" spans="1:6" x14ac:dyDescent="0.25">
      <c r="A12" s="84" t="s">
        <v>248</v>
      </c>
      <c r="B12" s="85">
        <v>3.7499999999999999E-2</v>
      </c>
      <c r="C12" s="85">
        <v>3.0499999999999999E-2</v>
      </c>
    </row>
    <row r="13" spans="1:6" x14ac:dyDescent="0.25">
      <c r="A13" s="84" t="s">
        <v>201</v>
      </c>
      <c r="B13" s="85">
        <v>0.50080000000000002</v>
      </c>
      <c r="C13" s="86"/>
      <c r="D13" t="s">
        <v>67</v>
      </c>
      <c r="E13" t="s">
        <v>68</v>
      </c>
      <c r="F13" t="s">
        <v>192</v>
      </c>
    </row>
    <row r="14" spans="1:6" x14ac:dyDescent="0.25">
      <c r="A14" s="84" t="s">
        <v>202</v>
      </c>
      <c r="B14" s="85">
        <v>0.46589999999999998</v>
      </c>
      <c r="C14" s="86"/>
      <c r="D14" t="s">
        <v>67</v>
      </c>
      <c r="E14" t="s">
        <v>68</v>
      </c>
      <c r="F14" t="s">
        <v>192</v>
      </c>
    </row>
    <row r="15" spans="1:6" x14ac:dyDescent="0.25">
      <c r="A15" t="s">
        <v>197</v>
      </c>
      <c r="B15" s="83">
        <v>505495.1</v>
      </c>
      <c r="C15" s="86"/>
      <c r="D15" t="s">
        <v>75</v>
      </c>
      <c r="E15" t="s">
        <v>68</v>
      </c>
      <c r="F15" t="s">
        <v>192</v>
      </c>
    </row>
    <row r="16" spans="1:6" x14ac:dyDescent="0.25">
      <c r="A16" t="s">
        <v>384</v>
      </c>
      <c r="B16" s="83">
        <f>116896+17244</f>
        <v>134140</v>
      </c>
      <c r="C16" s="86"/>
      <c r="D16" t="s">
        <v>75</v>
      </c>
      <c r="E16" t="s">
        <v>68</v>
      </c>
      <c r="F16" t="s">
        <v>192</v>
      </c>
    </row>
    <row r="17" spans="1:6" x14ac:dyDescent="0.25">
      <c r="A17" t="s">
        <v>196</v>
      </c>
      <c r="B17" s="83">
        <f>158174*(0.16+0.18)</f>
        <v>53779.159999999996</v>
      </c>
      <c r="C17" s="86"/>
      <c r="D17" t="s">
        <v>71</v>
      </c>
      <c r="E17" t="s">
        <v>68</v>
      </c>
      <c r="F17" t="s">
        <v>193</v>
      </c>
    </row>
    <row r="18" spans="1:6" x14ac:dyDescent="0.25">
      <c r="A18" s="31" t="s">
        <v>188</v>
      </c>
      <c r="B18" s="85">
        <v>0.15559999999999999</v>
      </c>
      <c r="C18" s="85">
        <v>0.16739999999999999</v>
      </c>
      <c r="D18" t="s">
        <v>71</v>
      </c>
      <c r="E18" t="s">
        <v>68</v>
      </c>
      <c r="F18" t="s">
        <v>192</v>
      </c>
    </row>
    <row r="19" spans="1:6" x14ac:dyDescent="0.25">
      <c r="A19" s="31" t="s">
        <v>187</v>
      </c>
      <c r="B19" s="85">
        <v>8.3099999999999993E-2</v>
      </c>
      <c r="C19" s="85">
        <v>9.3200000000000005E-2</v>
      </c>
      <c r="D19" t="s">
        <v>75</v>
      </c>
      <c r="E19" t="s">
        <v>68</v>
      </c>
      <c r="F19" t="s">
        <v>192</v>
      </c>
    </row>
    <row r="20" spans="1:6" x14ac:dyDescent="0.25">
      <c r="A20" s="31" t="s">
        <v>207</v>
      </c>
      <c r="B20" s="85">
        <f>0.4+0.0618</f>
        <v>0.46180000000000004</v>
      </c>
      <c r="C20" s="86"/>
      <c r="D20" t="s">
        <v>75</v>
      </c>
      <c r="E20" t="s">
        <v>68</v>
      </c>
      <c r="F20" t="s">
        <v>192</v>
      </c>
    </row>
    <row r="21" spans="1:6" x14ac:dyDescent="0.25">
      <c r="A21" s="31" t="s">
        <v>338</v>
      </c>
      <c r="B21" s="86">
        <f>B20*B17/B16</f>
        <v>0.18514399946324736</v>
      </c>
      <c r="C21" s="86"/>
      <c r="D21" t="s">
        <v>75</v>
      </c>
      <c r="E21" t="s">
        <v>68</v>
      </c>
    </row>
    <row r="22" spans="1:6" x14ac:dyDescent="0.25">
      <c r="A22" t="s">
        <v>189</v>
      </c>
      <c r="B22" s="39">
        <f>800/692</f>
        <v>1.1560693641618498</v>
      </c>
      <c r="C22" s="36">
        <f>B22</f>
        <v>1.1560693641618498</v>
      </c>
      <c r="D22" t="s">
        <v>190</v>
      </c>
      <c r="E22" t="s">
        <v>191</v>
      </c>
      <c r="F22" t="s">
        <v>194</v>
      </c>
    </row>
    <row r="23" spans="1:6" x14ac:dyDescent="0.25">
      <c r="A23" t="s">
        <v>203</v>
      </c>
      <c r="B23" s="87">
        <f>295/((1+Parameters!$B$7)*12)</f>
        <v>22.836352376528875</v>
      </c>
      <c r="C23" s="53">
        <f>B23</f>
        <v>22.836352376528875</v>
      </c>
      <c r="D23" t="s">
        <v>1</v>
      </c>
      <c r="E23" t="s">
        <v>191</v>
      </c>
      <c r="F23" t="s">
        <v>195</v>
      </c>
    </row>
    <row r="24" spans="1:6" x14ac:dyDescent="0.25">
      <c r="A24" t="s">
        <v>204</v>
      </c>
      <c r="B24" s="85">
        <v>3.7050899999999998E-2</v>
      </c>
      <c r="C24" s="86">
        <f>B24</f>
        <v>3.7050899999999998E-2</v>
      </c>
      <c r="D24" t="s">
        <v>67</v>
      </c>
      <c r="E24" t="s">
        <v>191</v>
      </c>
      <c r="F24" t="s">
        <v>192</v>
      </c>
    </row>
    <row r="25" spans="1:6" x14ac:dyDescent="0.25">
      <c r="A25" t="s">
        <v>205</v>
      </c>
      <c r="B25" s="54">
        <v>1049.8430000000001</v>
      </c>
      <c r="C25" s="53">
        <f>B25</f>
        <v>1049.8430000000001</v>
      </c>
      <c r="D25" t="s">
        <v>67</v>
      </c>
      <c r="E25" t="s">
        <v>191</v>
      </c>
      <c r="F25" t="s">
        <v>192</v>
      </c>
    </row>
    <row r="26" spans="1:6" x14ac:dyDescent="0.25">
      <c r="A26" t="s">
        <v>209</v>
      </c>
      <c r="B26" s="54">
        <f>AVERAGE(116,77)</f>
        <v>96.5</v>
      </c>
      <c r="C26" s="53"/>
      <c r="D26" t="s">
        <v>71</v>
      </c>
      <c r="E26" t="s">
        <v>191</v>
      </c>
      <c r="F26" t="s">
        <v>193</v>
      </c>
    </row>
    <row r="27" spans="1:6" x14ac:dyDescent="0.25">
      <c r="A27" t="s">
        <v>210</v>
      </c>
      <c r="B27" s="54">
        <v>39</v>
      </c>
      <c r="C27" s="53"/>
      <c r="D27" t="s">
        <v>71</v>
      </c>
      <c r="E27" t="s">
        <v>191</v>
      </c>
      <c r="F27" t="s">
        <v>193</v>
      </c>
    </row>
    <row r="28" spans="1:6" x14ac:dyDescent="0.25">
      <c r="A28" t="s">
        <v>211</v>
      </c>
      <c r="B28" s="54">
        <v>0</v>
      </c>
      <c r="C28" s="53"/>
      <c r="D28" t="s">
        <v>71</v>
      </c>
      <c r="E28" t="s">
        <v>191</v>
      </c>
      <c r="F28" t="s">
        <v>193</v>
      </c>
    </row>
    <row r="29" spans="1:6" x14ac:dyDescent="0.25">
      <c r="A29" t="s">
        <v>212</v>
      </c>
      <c r="B29" s="89">
        <v>0.16</v>
      </c>
      <c r="C29" s="53"/>
      <c r="D29" t="s">
        <v>71</v>
      </c>
      <c r="E29" t="s">
        <v>191</v>
      </c>
      <c r="F29" t="s">
        <v>193</v>
      </c>
    </row>
    <row r="30" spans="1:6" x14ac:dyDescent="0.25">
      <c r="A30" t="s">
        <v>213</v>
      </c>
      <c r="B30" s="89">
        <v>0.18</v>
      </c>
      <c r="C30" s="53"/>
      <c r="D30" t="s">
        <v>71</v>
      </c>
      <c r="E30" t="s">
        <v>191</v>
      </c>
      <c r="F30" t="s">
        <v>193</v>
      </c>
    </row>
    <row r="31" spans="1:6" x14ac:dyDescent="0.25">
      <c r="A31" t="s">
        <v>214</v>
      </c>
      <c r="B31" s="89">
        <v>0.66</v>
      </c>
      <c r="C31" s="53"/>
      <c r="D31" t="s">
        <v>71</v>
      </c>
      <c r="E31" t="s">
        <v>191</v>
      </c>
      <c r="F31" t="s">
        <v>193</v>
      </c>
    </row>
    <row r="32" spans="1:6" x14ac:dyDescent="0.25">
      <c r="A32" t="s">
        <v>215</v>
      </c>
      <c r="B32" s="53">
        <f>SUMPRODUCT(B26:B28,B29:B31)*12</f>
        <v>269.52</v>
      </c>
    </row>
    <row r="33" spans="1:6" x14ac:dyDescent="0.25">
      <c r="A33" t="s">
        <v>216</v>
      </c>
      <c r="B33" s="54">
        <v>805000000</v>
      </c>
      <c r="D33" t="s">
        <v>71</v>
      </c>
      <c r="E33" t="s">
        <v>191</v>
      </c>
      <c r="F33" t="s">
        <v>220</v>
      </c>
    </row>
    <row r="34" spans="1:6" x14ac:dyDescent="0.25">
      <c r="A34" t="s">
        <v>217</v>
      </c>
      <c r="B34" s="54">
        <f>AVERAGE(162725,150998,158973)</f>
        <v>157565.33333333334</v>
      </c>
      <c r="D34" t="s">
        <v>71</v>
      </c>
      <c r="E34" t="s">
        <v>191</v>
      </c>
      <c r="F34" t="s">
        <v>193</v>
      </c>
    </row>
    <row r="35" spans="1:6" x14ac:dyDescent="0.25">
      <c r="A35" t="s">
        <v>218</v>
      </c>
      <c r="B35" s="53">
        <f>B33*Parameters!$B$10/(B34*VLOOKUP(DATE(2009,1,1),FREDconnect!$A$8:$B$21,2))</f>
        <v>5646.3028704693679</v>
      </c>
    </row>
    <row r="36" spans="1:6" x14ac:dyDescent="0.25">
      <c r="A36" t="s">
        <v>221</v>
      </c>
      <c r="B36" s="53">
        <f>B35+B32</f>
        <v>5915.8228704693684</v>
      </c>
      <c r="F36" t="s">
        <v>208</v>
      </c>
    </row>
    <row r="37" spans="1:6" x14ac:dyDescent="0.25">
      <c r="A37" t="s">
        <v>219</v>
      </c>
      <c r="B37" s="38">
        <v>0.25</v>
      </c>
      <c r="D37" t="s">
        <v>233</v>
      </c>
      <c r="E37" t="s">
        <v>191</v>
      </c>
      <c r="F37" t="s">
        <v>225</v>
      </c>
    </row>
    <row r="38" spans="1:6" x14ac:dyDescent="0.25">
      <c r="A38" t="s">
        <v>226</v>
      </c>
      <c r="B38" s="12">
        <f>0.0000565*Parameters!$B$10/VLOOKUP(DATE(2010,1,1),FREDconnect!$A$8:$B$22,2)</f>
        <v>6.127123114315807E-5</v>
      </c>
      <c r="D38" t="s">
        <v>71</v>
      </c>
      <c r="E38" t="s">
        <v>191</v>
      </c>
      <c r="F38" t="s">
        <v>192</v>
      </c>
    </row>
    <row r="39" spans="1:6" x14ac:dyDescent="0.25">
      <c r="A39" t="s">
        <v>224</v>
      </c>
      <c r="B39" s="12">
        <v>0.56179619999999997</v>
      </c>
      <c r="D39" t="s">
        <v>71</v>
      </c>
      <c r="E39" t="s">
        <v>68</v>
      </c>
      <c r="F39" t="s">
        <v>192</v>
      </c>
    </row>
    <row r="40" spans="1:6" x14ac:dyDescent="0.25">
      <c r="A40" t="s">
        <v>222</v>
      </c>
      <c r="B40" s="86">
        <f>B$36*B38*(1-B$37)*(1-Parameters!$B$7-Parameters!$B$8)/2</f>
        <v>0.10106109731086571</v>
      </c>
      <c r="D40" t="s">
        <v>71</v>
      </c>
      <c r="E40" t="s">
        <v>191</v>
      </c>
      <c r="F40" t="s">
        <v>223</v>
      </c>
    </row>
    <row r="41" spans="1:6" x14ac:dyDescent="0.25">
      <c r="A41" t="s">
        <v>228</v>
      </c>
      <c r="B41" s="12">
        <f>0.0000591*Parameters!$B$10/VLOOKUP(DATE(2010,1,1),FREDconnect!$A$8:$B$22,2)</f>
        <v>6.4090792222312238E-5</v>
      </c>
      <c r="D41" t="s">
        <v>75</v>
      </c>
      <c r="E41" t="s">
        <v>191</v>
      </c>
      <c r="F41" t="s">
        <v>192</v>
      </c>
    </row>
    <row r="42" spans="1:6" x14ac:dyDescent="0.25">
      <c r="A42" t="s">
        <v>229</v>
      </c>
      <c r="B42" s="12">
        <v>0.5426067</v>
      </c>
      <c r="D42" t="s">
        <v>75</v>
      </c>
      <c r="E42" t="s">
        <v>68</v>
      </c>
      <c r="F42" t="s">
        <v>192</v>
      </c>
    </row>
    <row r="43" spans="1:6" x14ac:dyDescent="0.25">
      <c r="A43" t="s">
        <v>227</v>
      </c>
      <c r="B43" s="86">
        <f>B$36*B41*(1-B$37)*(1-Parameters!$B$7-Parameters!$B$8)/2</f>
        <v>0.10571169647915331</v>
      </c>
      <c r="D43" t="s">
        <v>230</v>
      </c>
      <c r="E43" t="s">
        <v>191</v>
      </c>
    </row>
    <row r="44" spans="1:6" x14ac:dyDescent="0.25">
      <c r="A44" t="s">
        <v>231</v>
      </c>
      <c r="B44" s="53">
        <f>B$35*(1-B$37)*(1-Parameters!$B$7-Parameters!$B$8)</f>
        <v>3148.5196381454816</v>
      </c>
      <c r="D44" t="s">
        <v>75</v>
      </c>
      <c r="E44" t="s">
        <v>191</v>
      </c>
    </row>
    <row r="45" spans="1:6" x14ac:dyDescent="0.25">
      <c r="A45" t="s">
        <v>242</v>
      </c>
      <c r="B45" s="54">
        <v>357.99499046158456</v>
      </c>
      <c r="D45" t="s">
        <v>232</v>
      </c>
      <c r="E45" t="s">
        <v>191</v>
      </c>
      <c r="F45" t="s">
        <v>241</v>
      </c>
    </row>
    <row r="46" spans="1:6" x14ac:dyDescent="0.25">
      <c r="A46" t="s">
        <v>234</v>
      </c>
      <c r="B46" s="90">
        <v>0.4679369598308652</v>
      </c>
      <c r="D46" t="s">
        <v>232</v>
      </c>
      <c r="E46" t="s">
        <v>68</v>
      </c>
      <c r="F46" t="s">
        <v>241</v>
      </c>
    </row>
    <row r="47" spans="1:6" x14ac:dyDescent="0.25">
      <c r="A47" t="s">
        <v>235</v>
      </c>
      <c r="B47" s="54">
        <v>51653100</v>
      </c>
      <c r="D47" t="s">
        <v>232</v>
      </c>
      <c r="E47" t="s">
        <v>68</v>
      </c>
      <c r="F47" t="s">
        <v>243</v>
      </c>
    </row>
    <row r="48" spans="1:6" x14ac:dyDescent="0.25">
      <c r="A48" t="s">
        <v>236</v>
      </c>
      <c r="B48" s="54">
        <v>1185600</v>
      </c>
      <c r="D48" t="s">
        <v>232</v>
      </c>
      <c r="E48" t="s">
        <v>68</v>
      </c>
      <c r="F48" t="s">
        <v>243</v>
      </c>
    </row>
    <row r="49" spans="1:6" x14ac:dyDescent="0.25">
      <c r="A49" t="s">
        <v>237</v>
      </c>
      <c r="B49" s="54">
        <v>110573728</v>
      </c>
      <c r="D49" t="s">
        <v>232</v>
      </c>
      <c r="E49" t="s">
        <v>68</v>
      </c>
      <c r="F49" t="s">
        <v>192</v>
      </c>
    </row>
    <row r="50" spans="1:6" x14ac:dyDescent="0.25">
      <c r="A50" t="s">
        <v>238</v>
      </c>
      <c r="B50" s="54">
        <v>2489492</v>
      </c>
      <c r="D50" t="s">
        <v>232</v>
      </c>
      <c r="E50" t="s">
        <v>68</v>
      </c>
      <c r="F50" t="s">
        <v>192</v>
      </c>
    </row>
    <row r="51" spans="1:6" x14ac:dyDescent="0.25">
      <c r="A51" t="s">
        <v>239</v>
      </c>
      <c r="B51" s="74">
        <f>B46*B48*B49/(B47*B50)</f>
        <v>0.47705710211102043</v>
      </c>
      <c r="D51" t="s">
        <v>232</v>
      </c>
      <c r="E51" t="s">
        <v>68</v>
      </c>
    </row>
    <row r="52" spans="1:6" x14ac:dyDescent="0.25">
      <c r="A52" t="s">
        <v>240</v>
      </c>
      <c r="B52" s="38">
        <v>0.02</v>
      </c>
      <c r="D52" t="s">
        <v>232</v>
      </c>
      <c r="E52" t="s">
        <v>68</v>
      </c>
    </row>
  </sheetData>
  <mergeCells count="1">
    <mergeCell ref="B3:C3"/>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ColWidth="8.85546875" defaultRowHeight="15" x14ac:dyDescent="0.25"/>
  <cols>
    <col min="1" max="1" width="40" bestFit="1" customWidth="1"/>
    <col min="2" max="2" width="12.7109375" customWidth="1"/>
    <col min="3" max="3" width="10.7109375" customWidth="1"/>
    <col min="4" max="4" width="14.7109375" customWidth="1"/>
    <col min="5" max="5" width="2.7109375" customWidth="1"/>
    <col min="10" max="10" width="9.85546875" customWidth="1"/>
  </cols>
  <sheetData>
    <row r="1" spans="1:6" ht="15.75" x14ac:dyDescent="0.25">
      <c r="A1" s="42" t="s">
        <v>341</v>
      </c>
      <c r="B1" s="41"/>
      <c r="C1" s="41"/>
      <c r="D1" s="41"/>
      <c r="E1" s="41"/>
      <c r="F1" s="41"/>
    </row>
    <row r="2" spans="1:6" ht="15.75" x14ac:dyDescent="0.25">
      <c r="A2" s="41" t="str">
        <f>"Calendar year 2010, average among MA household heads and spouses with median earnings potential"</f>
        <v>Calendar year 2010, average among MA household heads and spouses with median earnings potential</v>
      </c>
      <c r="B2" s="41"/>
      <c r="C2" s="41"/>
      <c r="D2" s="41"/>
      <c r="E2" s="41"/>
      <c r="F2" s="41"/>
    </row>
    <row r="3" spans="1:6" ht="15.75" x14ac:dyDescent="0.25">
      <c r="A3" s="41"/>
      <c r="B3" s="41"/>
      <c r="C3" s="41"/>
      <c r="D3" s="41"/>
      <c r="E3" s="41"/>
      <c r="F3" s="41"/>
    </row>
    <row r="4" spans="1:6" ht="15.75" x14ac:dyDescent="0.25">
      <c r="A4" s="42" t="s">
        <v>268</v>
      </c>
      <c r="B4" s="41"/>
      <c r="C4" s="41"/>
      <c r="D4" s="41"/>
      <c r="E4" s="41"/>
      <c r="F4" s="41"/>
    </row>
    <row r="5" spans="1:6" ht="15.75" x14ac:dyDescent="0.25">
      <c r="A5" s="41"/>
      <c r="B5" s="41"/>
      <c r="C5" s="41"/>
      <c r="D5" s="41"/>
      <c r="E5" s="41"/>
      <c r="F5" s="41"/>
    </row>
    <row r="6" spans="1:6" ht="15.75" x14ac:dyDescent="0.25">
      <c r="A6" s="41"/>
      <c r="B6" s="118" t="s">
        <v>47</v>
      </c>
      <c r="C6" s="118"/>
      <c r="D6" s="118"/>
      <c r="E6" s="41"/>
      <c r="F6" s="41"/>
    </row>
    <row r="7" spans="1:6" ht="15.75" x14ac:dyDescent="0.25">
      <c r="A7" s="43" t="s">
        <v>2</v>
      </c>
      <c r="B7" s="44" t="s">
        <v>3</v>
      </c>
      <c r="C7" s="44" t="s">
        <v>4</v>
      </c>
      <c r="D7" s="44" t="s">
        <v>5</v>
      </c>
      <c r="E7" s="44"/>
      <c r="F7" s="45"/>
    </row>
    <row r="8" spans="1:6" ht="15.75" x14ac:dyDescent="0.25">
      <c r="A8" s="41" t="s">
        <v>77</v>
      </c>
      <c r="B8" s="46">
        <f>MAparameters!$B$23*Parameters!$B$10/VLOOKUP(DATE(2010,1,1),FREDconnect!$A$8:$B$21,2)</f>
        <v>24.764803981042615</v>
      </c>
      <c r="C8" s="46">
        <f>B8</f>
        <v>24.764803981042615</v>
      </c>
      <c r="D8" s="77">
        <f>C8</f>
        <v>24.764803981042615</v>
      </c>
      <c r="E8" s="46"/>
      <c r="F8" s="41"/>
    </row>
    <row r="9" spans="1:6" ht="15.75" x14ac:dyDescent="0.25">
      <c r="A9" s="93" t="s">
        <v>263</v>
      </c>
      <c r="B9" s="46">
        <f>MAparameters!$B$24*Parameters!$B$25*MAparameters!$B$22*52*Parameters!$B$10/(Parameters!$B$9*12)</f>
        <v>146.66780715354852</v>
      </c>
      <c r="C9" s="46">
        <f>B9</f>
        <v>146.66780715354852</v>
      </c>
      <c r="D9" s="46">
        <f>C9</f>
        <v>146.66780715354852</v>
      </c>
      <c r="E9" s="41"/>
      <c r="F9" s="41"/>
    </row>
    <row r="10" spans="1:6" ht="15.75" x14ac:dyDescent="0.25">
      <c r="A10" s="93" t="s">
        <v>264</v>
      </c>
      <c r="B10" s="46">
        <f>MAparameters!$B$25*Parameters!$B$10/(12*MAparameters!$B$5)</f>
        <v>94.874886603283912</v>
      </c>
      <c r="C10" s="41">
        <v>0</v>
      </c>
      <c r="D10" s="41">
        <v>0</v>
      </c>
      <c r="E10" s="41"/>
      <c r="F10" s="41"/>
    </row>
    <row r="11" spans="1:6" ht="15.75" x14ac:dyDescent="0.25">
      <c r="A11" s="41" t="s">
        <v>36</v>
      </c>
      <c r="B11" s="46">
        <f>MAparameters!$B$40*Parameters!$B$25*MAparameters!$B$22*52*Parameters!$B$10/(Parameters!$B$9*12)</f>
        <v>400.05531663511698</v>
      </c>
      <c r="C11" s="46">
        <f>B11</f>
        <v>400.05531663511698</v>
      </c>
      <c r="D11" s="46">
        <f>C11</f>
        <v>400.05531663511698</v>
      </c>
      <c r="E11" s="41"/>
      <c r="F11" s="41"/>
    </row>
    <row r="12" spans="1:6" ht="15.75" x14ac:dyDescent="0.25">
      <c r="A12" s="41" t="s">
        <v>35</v>
      </c>
      <c r="B12" s="41">
        <v>0</v>
      </c>
      <c r="C12" s="46">
        <f>MAparameters!$B$44/12</f>
        <v>262.37663651212347</v>
      </c>
      <c r="D12" s="77">
        <f>C12*Table1!$D$12/Table1!$C$12</f>
        <v>300.9730298906847</v>
      </c>
      <c r="E12" s="41"/>
      <c r="F12" s="41"/>
    </row>
    <row r="13" spans="1:6" ht="15.75" x14ac:dyDescent="0.25">
      <c r="A13" s="109" t="s">
        <v>308</v>
      </c>
      <c r="B13" s="46">
        <f>MAparameters!$B$45*Parameters!$B$10/Parameters!$B$9</f>
        <v>389.37261140616619</v>
      </c>
      <c r="C13" s="46">
        <f>B13</f>
        <v>389.37261140616619</v>
      </c>
      <c r="D13" s="46">
        <f>C13</f>
        <v>389.37261140616619</v>
      </c>
      <c r="E13" s="41"/>
      <c r="F13" s="41"/>
    </row>
    <row r="14" spans="1:6" ht="15.75" x14ac:dyDescent="0.25">
      <c r="A14" s="41" t="s">
        <v>44</v>
      </c>
      <c r="B14" s="46">
        <f>-MAparameters!$B$43*MAparameters!$B$22*Parameters!$B$37*Parameters!$B$10/Parameters!$B$9</f>
        <v>-154.59972148862713</v>
      </c>
      <c r="C14" s="46">
        <v>0</v>
      </c>
      <c r="D14" s="41">
        <v>0</v>
      </c>
      <c r="E14" s="41"/>
      <c r="F14" s="41"/>
    </row>
    <row r="15" spans="1:6" ht="15.75" x14ac:dyDescent="0.25">
      <c r="A15" s="41" t="s">
        <v>57</v>
      </c>
      <c r="B15" s="46">
        <f>-Parameters!$B$49*MAparameters!$B$22*Parameters!$B$10/Parameters!$B$9</f>
        <v>-232.68428226726601</v>
      </c>
      <c r="C15" s="46">
        <f>B15</f>
        <v>-232.68428226726601</v>
      </c>
      <c r="D15" s="46">
        <f>C15</f>
        <v>-232.68428226726601</v>
      </c>
      <c r="E15" s="41"/>
      <c r="F15" s="41"/>
    </row>
    <row r="16" spans="1:6" ht="15.75" x14ac:dyDescent="0.25">
      <c r="A16" s="41"/>
      <c r="B16" s="41"/>
      <c r="C16" s="41"/>
      <c r="D16" s="41"/>
      <c r="E16" s="41"/>
      <c r="F16" s="41"/>
    </row>
    <row r="17" spans="1:8" ht="15.75" x14ac:dyDescent="0.25">
      <c r="A17" s="42" t="s">
        <v>269</v>
      </c>
      <c r="B17" s="41"/>
      <c r="C17" s="41"/>
      <c r="D17" s="41"/>
      <c r="E17" s="41"/>
      <c r="F17" s="41"/>
    </row>
    <row r="18" spans="1:8" ht="15.75" x14ac:dyDescent="0.25">
      <c r="A18" s="41"/>
      <c r="B18" s="41"/>
      <c r="C18" s="41"/>
      <c r="D18" s="41"/>
      <c r="E18" s="41"/>
      <c r="F18" s="41"/>
    </row>
    <row r="19" spans="1:8" ht="15.75" x14ac:dyDescent="0.25">
      <c r="A19" s="43" t="s">
        <v>2</v>
      </c>
      <c r="B19" s="44" t="s">
        <v>3</v>
      </c>
      <c r="C19" s="44" t="s">
        <v>4</v>
      </c>
      <c r="D19" s="44" t="s">
        <v>5</v>
      </c>
      <c r="E19" s="44"/>
      <c r="F19" s="45"/>
    </row>
    <row r="20" spans="1:8" ht="15.75" x14ac:dyDescent="0.25">
      <c r="A20" s="41" t="s">
        <v>77</v>
      </c>
      <c r="B20" s="47">
        <f>Table1!B21*MAparameters!$B$7/MAparameters!$B$6</f>
        <v>0.17445616529616872</v>
      </c>
      <c r="C20" s="47">
        <f t="shared" ref="C20:D23" si="0">B20</f>
        <v>0.17445616529616872</v>
      </c>
      <c r="D20" s="47">
        <f t="shared" si="0"/>
        <v>0.17445616529616872</v>
      </c>
      <c r="E20" s="41"/>
      <c r="F20" s="121"/>
      <c r="G20" s="121"/>
      <c r="H20" s="121"/>
    </row>
    <row r="21" spans="1:8" ht="15.75" x14ac:dyDescent="0.25">
      <c r="A21" s="93" t="s">
        <v>263</v>
      </c>
      <c r="B21" s="47">
        <f>Table1!B22*MAparameters!$C$11*MAparameters!$B$14*(1+MAparameters!$B$13)/MAparameters!$C$10</f>
        <v>2.6344760388966375E-2</v>
      </c>
      <c r="C21" s="47">
        <f t="shared" si="0"/>
        <v>2.6344760388966375E-2</v>
      </c>
      <c r="D21" s="47">
        <f t="shared" si="0"/>
        <v>2.6344760388966375E-2</v>
      </c>
      <c r="E21" s="41"/>
      <c r="F21" s="121"/>
      <c r="G21" s="121"/>
      <c r="H21" s="121"/>
    </row>
    <row r="22" spans="1:8" ht="15.75" x14ac:dyDescent="0.25">
      <c r="A22" s="93" t="s">
        <v>264</v>
      </c>
      <c r="B22" s="47">
        <f>Table1!B22*MAparameters!$C$11*(1-MAparameters!$B$14)/MAparameters!$C$10</f>
        <v>2.0123397197028929E-2</v>
      </c>
      <c r="C22" s="41">
        <v>0</v>
      </c>
      <c r="D22" s="41">
        <v>0</v>
      </c>
      <c r="E22" s="41"/>
      <c r="F22" s="121"/>
      <c r="G22" s="121"/>
      <c r="H22" s="121"/>
    </row>
    <row r="23" spans="1:8" ht="15.75" x14ac:dyDescent="0.25">
      <c r="A23" s="41" t="s">
        <v>36</v>
      </c>
      <c r="B23" s="47">
        <f>MAparameters!$C$18*MAparameters!$B$17*(1+MAparameters!$B$39)/MAparameters!$B$15</f>
        <v>2.7814860095640763E-2</v>
      </c>
      <c r="C23" s="47">
        <f t="shared" si="0"/>
        <v>2.7814860095640763E-2</v>
      </c>
      <c r="D23" s="47">
        <f t="shared" si="0"/>
        <v>2.7814860095640763E-2</v>
      </c>
      <c r="E23" s="41"/>
      <c r="F23" s="121"/>
      <c r="G23" s="121"/>
      <c r="H23" s="121"/>
    </row>
    <row r="24" spans="1:8" ht="15.75" x14ac:dyDescent="0.25">
      <c r="A24" s="41" t="s">
        <v>35</v>
      </c>
      <c r="B24" s="41">
        <v>0</v>
      </c>
      <c r="C24" s="47">
        <f>MAparameters!$C$19*MAparameters!$B$21</f>
        <v>1.7255420749974656E-2</v>
      </c>
      <c r="D24" s="78">
        <f>C24*Table1!$D$25/Table1!$C$25</f>
        <v>1.3815724270043579E-2</v>
      </c>
      <c r="E24" s="41"/>
      <c r="F24" s="121"/>
      <c r="G24" s="121"/>
      <c r="H24" s="121"/>
    </row>
    <row r="25" spans="1:8" ht="15.75" x14ac:dyDescent="0.25">
      <c r="A25" s="109" t="s">
        <v>308</v>
      </c>
      <c r="B25" s="47">
        <f>MAparameters!$B$52*MAparameters!$B$51</f>
        <v>9.5411420422204084E-3</v>
      </c>
      <c r="C25" s="47">
        <f>B25</f>
        <v>9.5411420422204084E-3</v>
      </c>
      <c r="D25" s="78">
        <f>C25</f>
        <v>9.5411420422204084E-3</v>
      </c>
      <c r="E25" s="41"/>
      <c r="F25" s="121"/>
      <c r="G25" s="121"/>
      <c r="H25" s="121"/>
    </row>
    <row r="26" spans="1:8" ht="15.75" x14ac:dyDescent="0.25">
      <c r="A26" s="41" t="s">
        <v>44</v>
      </c>
      <c r="B26" s="47">
        <f>B23*Parameters!$B$38</f>
        <v>1.7144861197555979E-2</v>
      </c>
      <c r="C26" s="41">
        <v>0</v>
      </c>
      <c r="D26" s="41">
        <v>0</v>
      </c>
      <c r="E26" s="41"/>
      <c r="F26" s="121"/>
      <c r="G26" s="121"/>
      <c r="H26" s="121"/>
    </row>
    <row r="27" spans="1:8" ht="15.75" x14ac:dyDescent="0.25">
      <c r="A27" s="41" t="s">
        <v>57</v>
      </c>
      <c r="B27" s="47">
        <f>(MAparameters!$B$8-MAparameters!$B$9)</f>
        <v>3.4000000000000002E-2</v>
      </c>
      <c r="C27" s="47">
        <f>B27</f>
        <v>3.4000000000000002E-2</v>
      </c>
      <c r="D27" s="47">
        <f>C27</f>
        <v>3.4000000000000002E-2</v>
      </c>
      <c r="E27" s="41"/>
      <c r="F27" s="121"/>
      <c r="G27" s="121"/>
      <c r="H27" s="121"/>
    </row>
    <row r="28" spans="1:8" ht="15.75" x14ac:dyDescent="0.25">
      <c r="A28" s="41"/>
      <c r="B28" s="41"/>
      <c r="C28" s="41"/>
      <c r="D28" s="41"/>
      <c r="E28" s="41"/>
      <c r="F28" s="41"/>
    </row>
    <row r="29" spans="1:8" ht="15.75" x14ac:dyDescent="0.25">
      <c r="A29" s="41"/>
      <c r="B29" s="41"/>
      <c r="C29" s="41"/>
      <c r="D29" s="41"/>
      <c r="E29" s="41"/>
      <c r="F29" s="41"/>
    </row>
    <row r="30" spans="1:8" ht="15.75" x14ac:dyDescent="0.25">
      <c r="A30" s="42" t="s">
        <v>309</v>
      </c>
      <c r="B30" s="48">
        <f>SUMPRODUCT(B$8:B$15,B$20:B$27)</f>
        <v>14.374191692529511</v>
      </c>
      <c r="C30" s="48">
        <f>SUMPRODUCT(C$8:C$15,C$20:C$27)</f>
        <v>19.64299668947173</v>
      </c>
      <c r="D30" s="48">
        <f>SUMPRODUCT(D$8:D$15,D$20:D$27)</f>
        <v>19.273737825181161</v>
      </c>
      <c r="E30" s="41"/>
      <c r="F30" s="41"/>
    </row>
    <row r="31" spans="1:8" ht="15.75" x14ac:dyDescent="0.25">
      <c r="A31" s="43" t="s">
        <v>78</v>
      </c>
      <c r="B31" s="49">
        <v>0.58255528942526302</v>
      </c>
      <c r="C31" s="49">
        <v>8.9078002007197496E-2</v>
      </c>
      <c r="D31" s="49">
        <v>0.32836670856754002</v>
      </c>
      <c r="E31" s="41"/>
      <c r="F31" s="41"/>
    </row>
    <row r="32" spans="1:8" ht="15.75" hidden="1" x14ac:dyDescent="0.25">
      <c r="A32" s="43"/>
      <c r="C32" s="51">
        <f>SUMPRODUCT(B30:D30,B31:D31)</f>
        <v>16.45237415167631</v>
      </c>
      <c r="D32" s="51"/>
      <c r="E32" s="41"/>
      <c r="F32" s="41"/>
    </row>
    <row r="33" spans="1:6" ht="15.75" x14ac:dyDescent="0.25">
      <c r="A33" s="42" t="s">
        <v>309</v>
      </c>
      <c r="B33" s="120" t="str">
        <f>TEXT(C32,"$0")&amp;"/month"</f>
        <v>$16/month</v>
      </c>
      <c r="C33" s="120"/>
      <c r="D33" s="120"/>
      <c r="E33" s="41"/>
      <c r="F33" s="46"/>
    </row>
    <row r="34" spans="1:6" ht="15.75" x14ac:dyDescent="0.25">
      <c r="A34" s="52" t="s">
        <v>350</v>
      </c>
      <c r="B34" s="119" t="str">
        <f>"= "&amp;TEXT(C32*Parameters!$B$9/(Parameters!B26*Parameters!$B$10*MAparameters!$B$22),"0.0%")&amp;" of employer cost"</f>
        <v>= 0.3% of employer cost</v>
      </c>
      <c r="C34" s="119"/>
      <c r="D34" s="119"/>
      <c r="E34" s="41"/>
      <c r="F34" s="41"/>
    </row>
    <row r="35" spans="1:6" ht="15.75" x14ac:dyDescent="0.25">
      <c r="A35" s="41"/>
      <c r="B35" s="41"/>
      <c r="C35" s="41"/>
      <c r="D35" s="41"/>
      <c r="E35" s="41"/>
      <c r="F35" s="41"/>
    </row>
    <row r="36" spans="1:6" ht="15.75" x14ac:dyDescent="0.25">
      <c r="A36" s="41"/>
      <c r="B36" s="41"/>
      <c r="C36" s="41"/>
      <c r="D36" s="41"/>
      <c r="E36" s="41"/>
      <c r="F36" s="41"/>
    </row>
    <row r="37" spans="1:6" ht="15.75" x14ac:dyDescent="0.25">
      <c r="A37" s="41"/>
      <c r="B37" s="41"/>
      <c r="C37" s="41"/>
      <c r="D37" s="41"/>
      <c r="E37" s="41"/>
      <c r="F37" s="41"/>
    </row>
    <row r="38" spans="1:6" ht="15.75" x14ac:dyDescent="0.25">
      <c r="A38" s="41"/>
      <c r="B38" s="41"/>
      <c r="C38" s="41"/>
      <c r="D38" s="41"/>
      <c r="E38" s="41"/>
      <c r="F38" s="41"/>
    </row>
    <row r="39" spans="1:6" ht="15.75" x14ac:dyDescent="0.25">
      <c r="A39" s="41"/>
      <c r="B39" s="41"/>
      <c r="C39" s="41"/>
      <c r="D39" s="41"/>
      <c r="E39" s="41"/>
      <c r="F39" s="41"/>
    </row>
  </sheetData>
  <mergeCells count="4">
    <mergeCell ref="B6:D6"/>
    <mergeCell ref="F20:H27"/>
    <mergeCell ref="B33:D33"/>
    <mergeCell ref="B34:D34"/>
  </mergeCells>
  <phoneticPr fontId="29" type="noConversion"/>
  <pageMargins left="0.7" right="0.7" top="0.75" bottom="0.75" header="0.3" footer="0.3"/>
  <pageSetup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Charts</vt:lpstr>
      </vt:variant>
      <vt:variant>
        <vt:i4>1</vt:i4>
      </vt:variant>
    </vt:vector>
  </HeadingPairs>
  <TitlesOfParts>
    <vt:vector size="15" baseType="lpstr">
      <vt:lpstr>README</vt:lpstr>
      <vt:lpstr>FY2010dollars</vt:lpstr>
      <vt:lpstr>Table1</vt:lpstr>
      <vt:lpstr>Parameters</vt:lpstr>
      <vt:lpstr>Components</vt:lpstr>
      <vt:lpstr>WgtDetail</vt:lpstr>
      <vt:lpstr>Sensitivity</vt:lpstr>
      <vt:lpstr>MAparameters</vt:lpstr>
      <vt:lpstr>MATable1</vt:lpstr>
      <vt:lpstr>ACAvsMA</vt:lpstr>
      <vt:lpstr>TextBackupMA</vt:lpstr>
      <vt:lpstr>TextBackupACA</vt:lpstr>
      <vt:lpstr>FREDconnect</vt:lpstr>
      <vt:lpstr>CoveragebyFTQuantile</vt:lpstr>
      <vt:lpstr>ChartComponents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 Mulligan</dc:creator>
  <cp:lastModifiedBy>Casey B. Mulligan</cp:lastModifiedBy>
  <cp:lastPrinted>2013-11-23T22:26:14Z</cp:lastPrinted>
  <dcterms:created xsi:type="dcterms:W3CDTF">2013-04-18T18:38:06Z</dcterms:created>
  <dcterms:modified xsi:type="dcterms:W3CDTF">2013-11-25T15:59:13Z</dcterms:modified>
</cp:coreProperties>
</file>